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440" tabRatio="270" firstSheet="3" activeTab="3"/>
  </bookViews>
  <sheets>
    <sheet name="1.20" sheetId="1" state="hidden" r:id="rId1"/>
    <sheet name="表6资金使用成效（12月30日）" sheetId="2" state="hidden" r:id="rId2"/>
    <sheet name="小康村到县资金" sheetId="3" state="hidden" r:id="rId3"/>
    <sheet name="下达表" sheetId="15" r:id="rId4"/>
    <sheet name="财政测算表" sheetId="4" state="hidden" r:id="rId5"/>
  </sheets>
  <externalReferences>
    <externalReference r:id="rId6"/>
    <externalReference r:id="rId7"/>
    <externalReference r:id="rId8"/>
  </externalReferences>
  <definedNames>
    <definedName name="_xlnm._FilterDatabase" localSheetId="0" hidden="1">'1.20'!$A$1:$AT$194</definedName>
    <definedName name="_xlnm._FilterDatabase" localSheetId="1" hidden="1">'表6资金使用成效（12月30日）'!$A$2:$L$126</definedName>
    <definedName name="_xlnm._FilterDatabase" localSheetId="4" hidden="1">财政测算表!$A$18:$CG$195</definedName>
    <definedName name="_xlnm._FilterDatabase" localSheetId="3" hidden="1">下达表!$A$6:$E$9</definedName>
    <definedName name="_xlnm.Print_Titles" localSheetId="4">财政测算表!$2:$9</definedName>
    <definedName name="_xlnm.Print_Titles" localSheetId="0">'1.20'!$A:$B,'1.20'!$2:$8</definedName>
    <definedName name="_xlnm.Print_Area" localSheetId="0">'1.20'!$A$1:$AR$194</definedName>
    <definedName name="_________t4">#REF!</definedName>
    <definedName name="_________t7">#REF!</definedName>
    <definedName name="_____t4">#REF!</definedName>
    <definedName name="_____t7">#REF!</definedName>
    <definedName name="____t4">#REF!</definedName>
    <definedName name="____t7">#REF!</definedName>
    <definedName name="___t4">#REF!</definedName>
    <definedName name="___t7">#REF!</definedName>
    <definedName name="__t4">#REF!</definedName>
    <definedName name="__t7">#REF!</definedName>
    <definedName name="_1t4_">#REF!</definedName>
    <definedName name="_2t7_">#REF!</definedName>
    <definedName name="_Order1" hidden="1">255</definedName>
    <definedName name="_Order2" hidden="1">255</definedName>
    <definedName name="_t4">#REF!</definedName>
    <definedName name="_t7">#REF!</definedName>
    <definedName name="A">#REF!</definedName>
    <definedName name="aa">#REF!</definedName>
    <definedName name="aaaagfdsafsd">#N/A</definedName>
    <definedName name="aas">#N/A</definedName>
    <definedName name="ABC">#REF!</definedName>
    <definedName name="ABD">#REF!</definedName>
    <definedName name="AccessDatabase" hidden="1">"D:\文_件\省长专项\2000省长专项审批.mdb"</definedName>
    <definedName name="ad">#REF!</definedName>
    <definedName name="adasfw">#N/A</definedName>
    <definedName name="addsdsads">#N/A</definedName>
    <definedName name="adsafs">#N/A</definedName>
    <definedName name="adsdsaas">#N/A</definedName>
    <definedName name="adsfafas">#N/A</definedName>
    <definedName name="adsgf">#N/A</definedName>
    <definedName name="agasdgaksdk">#N/A</definedName>
    <definedName name="agsdsawae">#N/A</definedName>
    <definedName name="ajgfdajfajd">#N/A</definedName>
    <definedName name="as">#N/A</definedName>
    <definedName name="asda">#N/A</definedName>
    <definedName name="asdfas">#N/A</definedName>
    <definedName name="asdfasd">#N/A</definedName>
    <definedName name="asdfasf">#N/A</definedName>
    <definedName name="asdfkaskfda">#N/A</definedName>
    <definedName name="asdg\">#N/A</definedName>
    <definedName name="asdga">#N/A</definedName>
    <definedName name="asdgads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b">#N/A</definedName>
    <definedName name="county">#REF!</definedName>
    <definedName name="d">#N/A</definedName>
    <definedName name="da">#N/A</definedName>
    <definedName name="dadaf">#N/A</definedName>
    <definedName name="dads">#N/A</definedName>
    <definedName name="daggaga">#N/A</definedName>
    <definedName name="dasadfw">#N/A</definedName>
    <definedName name="dasdfasd">#N/A</definedName>
    <definedName name="dasfaxc">#N/A</definedName>
    <definedName name="dasfqw">#N/A</definedName>
    <definedName name="data">#REF!</definedName>
    <definedName name="Database">#REF!</definedName>
    <definedName name="database2">#REF!</definedName>
    <definedName name="database3">#REF!</definedName>
    <definedName name="dd">#N/A</definedName>
    <definedName name="ddad">#N/A</definedName>
    <definedName name="ddagagsgdsa">#N/A</definedName>
    <definedName name="dddsaga">#N/A</definedName>
    <definedName name="dddsagsa">#N/A</definedName>
    <definedName name="ddsadafs">#N/A</definedName>
    <definedName name="ddsass">#N/A</definedName>
    <definedName name="ddydhg">#N/A</definedName>
    <definedName name="df">#REF!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gh">#N/A</definedName>
    <definedName name="dfghdhj">#N/A</definedName>
    <definedName name="dfgsdf">#N/A</definedName>
    <definedName name="dfh">#N/A</definedName>
    <definedName name="dfhgkj">#N/A</definedName>
    <definedName name="dfj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h">#N/A</definedName>
    <definedName name="dghadfha">#N/A</definedName>
    <definedName name="dghadhf">#N/A</definedName>
    <definedName name="dgkgfkdsafka">#N/A</definedName>
    <definedName name="dh">#N/A</definedName>
    <definedName name="dj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">#REF!</definedName>
    <definedName name="dsaasagf">#N/A</definedName>
    <definedName name="dsadsadsa">#N/A</definedName>
    <definedName name="dsadsafag">#N/A</definedName>
    <definedName name="dsadshf">#N/A</definedName>
    <definedName name="dsafads">#N/A</definedName>
    <definedName name="dsafdfdgas">#N/A</definedName>
    <definedName name="dsafdfdsfds">#N/A</definedName>
    <definedName name="dsafdsafdsa">#N/A</definedName>
    <definedName name="dsaffdsa">#N/A</definedName>
    <definedName name="dsagads">#N/A</definedName>
    <definedName name="dsagagw">#N/A</definedName>
    <definedName name="dsagas">#N/A</definedName>
    <definedName name="dsagasfwq">#N/A</definedName>
    <definedName name="dsagfw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gh">#N/A</definedName>
    <definedName name="dsfgs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gh">#N/A</definedName>
    <definedName name="dsjgakdsf">#N/A</definedName>
    <definedName name="dssasaww">#N/A</definedName>
    <definedName name="dw">#REF!</definedName>
    <definedName name="e">#N/A</definedName>
    <definedName name="E206.">#REF!</definedName>
    <definedName name="ee">#REF!</definedName>
    <definedName name="eee">#REF!</definedName>
    <definedName name="f">#N/A</definedName>
    <definedName name="fd">#REF!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">#REF!</definedName>
    <definedName name="ffdfdsaafds">#N/A</definedName>
    <definedName name="fff">#REF!</definedName>
    <definedName name="fg">#N/A</definedName>
    <definedName name="fgdh">#N/A</definedName>
    <definedName name="fgh">#REF!</definedName>
    <definedName name="fgj">#N/A</definedName>
    <definedName name="fgjd">#N/A</definedName>
    <definedName name="fgjk">#N/A</definedName>
    <definedName name="fhdjk">#N/A</definedName>
    <definedName name="fjafjs">#N/A</definedName>
    <definedName name="fjajsfdja">#N/A</definedName>
    <definedName name="fjdajsdjfa">#N/A</definedName>
    <definedName name="fjjafsjaj">#N/A</definedName>
    <definedName name="fjk">#N/A</definedName>
    <definedName name="fsa">#N/A</definedName>
    <definedName name="fsafffdsfdsa">#N/A</definedName>
    <definedName name="fsafsdfdsa">#N/A</definedName>
    <definedName name="g">#N/A</definedName>
    <definedName name="gadsfawe">#N/A</definedName>
    <definedName name="gafsafas">#N/A</definedName>
    <definedName name="gagssd">#N/A</definedName>
    <definedName name="gasdgfasgas">#N/A</definedName>
    <definedName name="gf">#REF!</definedName>
    <definedName name="gfagajfas">#N/A</definedName>
    <definedName name="gfh">#N/A</definedName>
    <definedName name="ggasfdasf">#N/A</definedName>
    <definedName name="gggg">#N/A</definedName>
    <definedName name="ggggggggg">#N/A</definedName>
    <definedName name="gh">#N/A</definedName>
    <definedName name="ghjk">#N/A</definedName>
    <definedName name="ghk">#N/A</definedName>
    <definedName name="gj">#N/A</definedName>
    <definedName name="gjhk">#N/A</definedName>
    <definedName name="gjk">#N/A</definedName>
    <definedName name="gjklh">#N/A</definedName>
    <definedName name="h">#N/A</definedName>
    <definedName name="hdfgh">#N/A</definedName>
    <definedName name="hg">#N/A</definedName>
    <definedName name="hgfh">#N/A</definedName>
    <definedName name="hgj">#N/A</definedName>
    <definedName name="hhfk">#N/A</definedName>
    <definedName name="hhhh">#REF!</definedName>
    <definedName name="hj">#N/A</definedName>
    <definedName name="hjhgj">#N/A</definedName>
    <definedName name="hjk">#N/A</definedName>
    <definedName name="hjkjhl">#N/A</definedName>
    <definedName name="hjkl">#N/A</definedName>
    <definedName name="hkjfgkjhkhj">#N/A</definedName>
    <definedName name="HWSheet">1</definedName>
    <definedName name="i">#N/A</definedName>
    <definedName name="j">#N/A</definedName>
    <definedName name="jdfajsfdj">#N/A</definedName>
    <definedName name="jdjfadsjf">#N/A</definedName>
    <definedName name="jgh">#N/A</definedName>
    <definedName name="jhgj">#N/A</definedName>
    <definedName name="jhi">#REF!</definedName>
    <definedName name="jhkf">#N/A</definedName>
    <definedName name="jhkljl">#N/A</definedName>
    <definedName name="jjgajsdfjasd">#N/A</definedName>
    <definedName name="jjjjj">#N/A</definedName>
    <definedName name="jk">#N/A</definedName>
    <definedName name="jl">#N/A</definedName>
    <definedName name="jmjkhjkl">#N/A</definedName>
    <definedName name="k">#N/A</definedName>
    <definedName name="kdfkasj">#N/A</definedName>
    <definedName name="kg">#N/A</definedName>
    <definedName name="kgak">#N/A</definedName>
    <definedName name="kjhljk">#N/A</definedName>
    <definedName name="kjhluyi">#N/A</definedName>
    <definedName name="kjlhj">#N/A</definedName>
    <definedName name="kkkk">#REF!</definedName>
    <definedName name="l">#N/A</definedName>
    <definedName name="lkghjk">#N/A</definedName>
    <definedName name="lkjhh">#N/A</definedName>
    <definedName name="luil">#N/A</definedName>
    <definedName name="mj">#REF!</definedName>
    <definedName name="Module.Prix_SMC">#N/A</definedName>
    <definedName name="_xlnm.Print_Area">#N/A</definedName>
    <definedName name="Print_Area_MI">#REF!</definedName>
    <definedName name="Prix_SMC">#N/A</definedName>
    <definedName name="q">#REF!</definedName>
    <definedName name="rf">#REF!</definedName>
    <definedName name="rrrr">#REF!</definedName>
    <definedName name="rt">#REF!</definedName>
    <definedName name="rwerwe">#REF!</definedName>
    <definedName name="s">#REF!</definedName>
    <definedName name="saagasf">#N/A</definedName>
    <definedName name="sadfaffdas">#N/A</definedName>
    <definedName name="sadfas">#N/A</definedName>
    <definedName name="sadfasdf">#N/A</definedName>
    <definedName name="sadfasfw">#N/A</definedName>
    <definedName name="sadffdag">#N/A</definedName>
    <definedName name="sadfx">#N/A</definedName>
    <definedName name="sadgafasdd">#N/A</definedName>
    <definedName name="sadgafasfd">#N/A</definedName>
    <definedName name="sadgafsdwa">#N/A</definedName>
    <definedName name="sadgasdf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d" hidden="1">#REF!</definedName>
    <definedName name="sdafg">#N/A</definedName>
    <definedName name="sdasqw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g">#N/A</definedName>
    <definedName name="sdfgs">#N/A</definedName>
    <definedName name="sdfkasfka">#N/A</definedName>
    <definedName name="sdfsdafaw">#N/A</definedName>
    <definedName name="sdfw">#N/A</definedName>
    <definedName name="sdfwsa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df">#N/A</definedName>
    <definedName name="sdgfw">#N/A</definedName>
    <definedName name="sdsaaa">#N/A</definedName>
    <definedName name="sdsfccxxx">#N/A</definedName>
    <definedName name="sfdg">#N/A</definedName>
    <definedName name="sfdsafdfdsa">#N/A</definedName>
    <definedName name="sfdsafdsaafds">#N/A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gdfg">#N/A</definedName>
    <definedName name="sgdh">#N/A</definedName>
    <definedName name="shgd">#N/A</definedName>
    <definedName name="ss">#REF!</definedName>
    <definedName name="ssfafag">#N/A</definedName>
    <definedName name="TableName">"Dummy"</definedName>
    <definedName name="tr">#REF!</definedName>
    <definedName name="try">#N/A</definedName>
    <definedName name="tt">#REF!</definedName>
    <definedName name="ttt">#REF!</definedName>
    <definedName name="tttt">#REF!</definedName>
    <definedName name="uu">#REF!</definedName>
    <definedName name="uyi">#N/A</definedName>
    <definedName name="w">#REF!</definedName>
    <definedName name="we">#REF!</definedName>
    <definedName name="ws">#REF!</definedName>
    <definedName name="www">#REF!</definedName>
    <definedName name="y">#REF!</definedName>
    <definedName name="yyyy">#REF!</definedName>
    <definedName name="部">#REF!</definedName>
    <definedName name="财政供养">#REF!</definedName>
    <definedName name="赤字县图">#REF!</definedName>
    <definedName name="处室">#REF!</definedName>
    <definedName name="大幅度">#REF!</definedName>
    <definedName name="地税" hidden="1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金额">#REF!</definedName>
    <definedName name="科目">#REF!</definedName>
    <definedName name="类型">#REF!</definedName>
    <definedName name="日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生态区层次明细" hidden="1">#REF!</definedName>
    <definedName name="是">#REF!</definedName>
    <definedName name="最终下达表">#REF!</definedName>
    <definedName name="전">#REF!</definedName>
    <definedName name="주택사업본부">#REF!</definedName>
    <definedName name="철구사업본부">#REF!</definedName>
    <definedName name="_________t4" localSheetId="3">#REF!</definedName>
    <definedName name="_________t7" localSheetId="3">#REF!</definedName>
    <definedName name="_____t4" localSheetId="3">#REF!</definedName>
    <definedName name="_____t7" localSheetId="3">#REF!</definedName>
    <definedName name="____t4" localSheetId="3">#REF!</definedName>
    <definedName name="____t7" localSheetId="3">#REF!</definedName>
    <definedName name="___t4" localSheetId="3">#REF!</definedName>
    <definedName name="___t7" localSheetId="3">#REF!</definedName>
    <definedName name="__t4" localSheetId="3">#REF!</definedName>
    <definedName name="__t7" localSheetId="3">#REF!</definedName>
    <definedName name="_1t4_" localSheetId="3">#REF!</definedName>
    <definedName name="_2t7_" localSheetId="3">#REF!</definedName>
    <definedName name="_t4" localSheetId="3">#REF!</definedName>
    <definedName name="_t7" localSheetId="3">#REF!</definedName>
    <definedName name="A" localSheetId="3">#REF!</definedName>
    <definedName name="aa" localSheetId="3">#REF!</definedName>
    <definedName name="ABC" localSheetId="3">#REF!</definedName>
    <definedName name="ABD" localSheetId="3">#REF!</definedName>
    <definedName name="ad" localSheetId="3">#REF!</definedName>
    <definedName name="county" localSheetId="3">#REF!</definedName>
    <definedName name="data" localSheetId="3">#REF!</definedName>
    <definedName name="Database" localSheetId="3">#REF!</definedName>
    <definedName name="database2" localSheetId="3">#REF!</definedName>
    <definedName name="database3" localSheetId="3">#REF!</definedName>
    <definedName name="df" localSheetId="3">#REF!</definedName>
    <definedName name="dsaa" localSheetId="3">#REF!</definedName>
    <definedName name="dw" localSheetId="3">#REF!</definedName>
    <definedName name="E206." localSheetId="3">#REF!</definedName>
    <definedName name="ee" localSheetId="3">#REF!</definedName>
    <definedName name="eee" localSheetId="3">#REF!</definedName>
    <definedName name="fd" localSheetId="3">#REF!</definedName>
    <definedName name="ff" localSheetId="3">#REF!</definedName>
    <definedName name="fff" localSheetId="3">#REF!</definedName>
    <definedName name="fgh" localSheetId="3">#REF!</definedName>
    <definedName name="gf" localSheetId="3">#REF!</definedName>
    <definedName name="hhhh" localSheetId="3">#REF!</definedName>
    <definedName name="jhi" localSheetId="3">#REF!</definedName>
    <definedName name="kkkk" localSheetId="3">#REF!</definedName>
    <definedName name="mj" localSheetId="3">#REF!</definedName>
    <definedName name="Print_Area_MI" localSheetId="3">#REF!</definedName>
    <definedName name="q" localSheetId="3">#REF!</definedName>
    <definedName name="rf" localSheetId="3">#REF!</definedName>
    <definedName name="rrrr" localSheetId="3">#REF!</definedName>
    <definedName name="rt" localSheetId="3">#REF!</definedName>
    <definedName name="rwerwe" localSheetId="3">#REF!</definedName>
    <definedName name="s" localSheetId="3">#REF!</definedName>
    <definedName name="sd" localSheetId="3" hidden="1">#REF!</definedName>
    <definedName name="ss" localSheetId="3">#REF!</definedName>
    <definedName name="tr" localSheetId="3">#REF!</definedName>
    <definedName name="tt" localSheetId="3">#REF!</definedName>
    <definedName name="ttt" localSheetId="3">#REF!</definedName>
    <definedName name="tttt" localSheetId="3">#REF!</definedName>
    <definedName name="uu" localSheetId="3">#REF!</definedName>
    <definedName name="w" localSheetId="3">#REF!</definedName>
    <definedName name="we" localSheetId="3">#REF!</definedName>
    <definedName name="ws" localSheetId="3">#REF!</definedName>
    <definedName name="www" localSheetId="3">#REF!</definedName>
    <definedName name="y" localSheetId="3">#REF!</definedName>
    <definedName name="yyyy" localSheetId="3">#REF!</definedName>
    <definedName name="部" localSheetId="3">#REF!</definedName>
    <definedName name="财政供养" localSheetId="3">#REF!</definedName>
    <definedName name="赤字县图" localSheetId="3">#REF!</definedName>
    <definedName name="处室" localSheetId="3">#REF!</definedName>
    <definedName name="大幅度" localSheetId="3">#REF!</definedName>
    <definedName name="地税" localSheetId="3" hidden="1">#REF!</definedName>
    <definedName name="还有" localSheetId="3">#REF!</definedName>
    <definedName name="汇率" localSheetId="3">#REF!</definedName>
    <definedName name="基金处室" localSheetId="3">#REF!</definedName>
    <definedName name="基金金额" localSheetId="3">#REF!</definedName>
    <definedName name="基金科目" localSheetId="3">#REF!</definedName>
    <definedName name="基金类型" localSheetId="3">#REF!</definedName>
    <definedName name="金额" localSheetId="3">#REF!</definedName>
    <definedName name="科目" localSheetId="3">#REF!</definedName>
    <definedName name="类型" localSheetId="3">#REF!</definedName>
    <definedName name="日" localSheetId="3">#REF!</definedName>
    <definedName name="生产列1" localSheetId="3">#REF!</definedName>
    <definedName name="生产列11" localSheetId="3">#REF!</definedName>
    <definedName name="生产列15" localSheetId="3">#REF!</definedName>
    <definedName name="生产列16" localSheetId="3">#REF!</definedName>
    <definedName name="生产列17" localSheetId="3">#REF!</definedName>
    <definedName name="生产列19" localSheetId="3">#REF!</definedName>
    <definedName name="生产列2" localSheetId="3">#REF!</definedName>
    <definedName name="生产列20" localSheetId="3">#REF!</definedName>
    <definedName name="生产列3" localSheetId="3">#REF!</definedName>
    <definedName name="生产列4" localSheetId="3">#REF!</definedName>
    <definedName name="生产列5" localSheetId="3">#REF!</definedName>
    <definedName name="生产列6" localSheetId="3">#REF!</definedName>
    <definedName name="生产列7" localSheetId="3">#REF!</definedName>
    <definedName name="生产列8" localSheetId="3">#REF!</definedName>
    <definedName name="生产列9" localSheetId="3">#REF!</definedName>
    <definedName name="生产期" localSheetId="3">#REF!</definedName>
    <definedName name="生产期1" localSheetId="3">#REF!</definedName>
    <definedName name="生产期11" localSheetId="3">#REF!</definedName>
    <definedName name="生产期123" localSheetId="3">#REF!</definedName>
    <definedName name="生产期15" localSheetId="3">#REF!</definedName>
    <definedName name="生产期16" localSheetId="3">#REF!</definedName>
    <definedName name="生产期17" localSheetId="3">#REF!</definedName>
    <definedName name="生产期19" localSheetId="3">#REF!</definedName>
    <definedName name="生产期2" localSheetId="3">#REF!</definedName>
    <definedName name="生产期20" localSheetId="3">#REF!</definedName>
    <definedName name="生产期3" localSheetId="3">#REF!</definedName>
    <definedName name="生产期4" localSheetId="3">#REF!</definedName>
    <definedName name="生产期5" localSheetId="3">#REF!</definedName>
    <definedName name="生产期6" localSheetId="3">#REF!</definedName>
    <definedName name="生产期7" localSheetId="3">#REF!</definedName>
    <definedName name="生产期8" localSheetId="3">#REF!</definedName>
    <definedName name="生产期9" localSheetId="3">#REF!</definedName>
    <definedName name="生态区层次明细" localSheetId="3" hidden="1">#REF!</definedName>
    <definedName name="是" localSheetId="3">#REF!</definedName>
    <definedName name="最终下达表" localSheetId="3">#REF!</definedName>
    <definedName name="전" localSheetId="3">#REF!</definedName>
    <definedName name="주택사업본부" localSheetId="3">#REF!</definedName>
    <definedName name="철구사업본부" localSheetId="3">#REF!</definedName>
    <definedName name="_xlnm.Print_Titles" localSheetId="3">下达表!$A:$A,下达表!$4:$6</definedName>
  </definedNames>
  <calcPr calcId="144525" concurrentCalc="0"/>
</workbook>
</file>

<file path=xl/sharedStrings.xml><?xml version="1.0" encoding="utf-8"?>
<sst xmlns="http://schemas.openxmlformats.org/spreadsheetml/2006/main" count="1433" uniqueCount="418">
  <si>
    <t>附件</t>
  </si>
  <si>
    <t xml:space="preserve">                          2022年省级财政衔接推进乡村振兴补助资金提前下达测算分配表</t>
  </si>
  <si>
    <t>单位：万元</t>
  </si>
  <si>
    <t>序号</t>
  </si>
  <si>
    <t>地区</t>
  </si>
  <si>
    <t>原贫困县标识</t>
  </si>
  <si>
    <t>脱贫年度</t>
  </si>
  <si>
    <t>乡村振兴重点帮扶县</t>
  </si>
  <si>
    <t>边境县</t>
  </si>
  <si>
    <t>2021年全年下达数</t>
  </si>
  <si>
    <t>2021年全年下达数按同口径折算</t>
  </si>
  <si>
    <t>因素1.相关人群数量及结构</t>
  </si>
  <si>
    <t>因素2.相关人群收入（权重15%）</t>
  </si>
  <si>
    <t>因素3.政策因素（权重50%）</t>
  </si>
  <si>
    <t>因素4.绩效管理因素（权重5%）</t>
  </si>
  <si>
    <t>本次测算安排情况</t>
  </si>
  <si>
    <t>（隐藏）较2021年增减金额</t>
  </si>
  <si>
    <t>（隐藏）较2021年增减比例</t>
  </si>
  <si>
    <t>较等比例压缩后的2021年下达数增减金额</t>
  </si>
  <si>
    <t>较等比例压缩后的2021年下达数增减比例</t>
  </si>
  <si>
    <t>脱贫人口规模（人）（20%）</t>
  </si>
  <si>
    <t>防反贫监测人口规模（人）（5%）</t>
  </si>
  <si>
    <t>易地扶贫搬迁贫困人口规模（人）（5%）</t>
  </si>
  <si>
    <t>测算分配金额</t>
  </si>
  <si>
    <t>脱贫人口合计</t>
  </si>
  <si>
    <t>按脱贫年度结构折算</t>
  </si>
  <si>
    <t>易地扶贫搬迁贫困人口合计</t>
  </si>
  <si>
    <t>按人口规模折算</t>
  </si>
  <si>
    <t>2020年农村常住居民人均可支配收入（元）</t>
  </si>
  <si>
    <t>按加权平均法换算</t>
  </si>
  <si>
    <t>边境小康村（40%）</t>
  </si>
  <si>
    <t>国家和省级乡村振兴重点帮扶县（8%）</t>
  </si>
  <si>
    <t>乡村建设示范点(4%)</t>
  </si>
  <si>
    <t>受灾因素（2%）</t>
  </si>
  <si>
    <t>支出进度（2.5%）</t>
  </si>
  <si>
    <t>绩效评价（2.5%）</t>
  </si>
  <si>
    <t>折算后小计</t>
  </si>
  <si>
    <t>非贫困县（按0.2比例折算）</t>
  </si>
  <si>
    <t>2017年（按0.4比例折算）</t>
  </si>
  <si>
    <t>2018年（按0.6比例折算）</t>
  </si>
  <si>
    <t>2019年（按0.8比例折算）</t>
  </si>
  <si>
    <t>2020年（按1比例折算）</t>
  </si>
  <si>
    <t>800人以下安置区贫困人口（按0.4比例折算）</t>
  </si>
  <si>
    <t>800-3000人的大型安置区贫困人口（按0.6比例折算）</t>
  </si>
  <si>
    <t>3000-10000人的特大型安置区贫困人口（按0.8比例折算）</t>
  </si>
  <si>
    <t>10000人以上的超大型安置区贫困人口（按1比例折算）</t>
  </si>
  <si>
    <t>抵边村个数</t>
  </si>
  <si>
    <t>缺口金额</t>
  </si>
  <si>
    <t>折算人口数</t>
  </si>
  <si>
    <t>国家和省级乡村振兴重点帮扶县按不低于2021年同口径补足</t>
  </si>
  <si>
    <t>按折算人口数因素测算分配金额</t>
  </si>
  <si>
    <t>村个数</t>
  </si>
  <si>
    <t>定额安排漾濞地震2000万元、德宏州疫情2000万元、宁蒗地震1000万元</t>
  </si>
  <si>
    <t>截至12月30日支出进度</t>
  </si>
  <si>
    <t>得分</t>
  </si>
  <si>
    <t>全省合计</t>
  </si>
  <si>
    <t>云南省本级</t>
  </si>
  <si>
    <t>五华区</t>
  </si>
  <si>
    <t>州市本级合计</t>
  </si>
  <si>
    <t>盘龙区</t>
  </si>
  <si>
    <t>88个县合计</t>
  </si>
  <si>
    <t>官渡区</t>
  </si>
  <si>
    <t>41个县合计</t>
  </si>
  <si>
    <t>西山区</t>
  </si>
  <si>
    <t>57个县合计</t>
  </si>
  <si>
    <t>东川区</t>
  </si>
  <si>
    <t>27个县合计</t>
  </si>
  <si>
    <t>呈贡区</t>
  </si>
  <si>
    <t>30个县合计</t>
  </si>
  <si>
    <t>晋宁区</t>
  </si>
  <si>
    <t>25个县合计</t>
  </si>
  <si>
    <t>富民县</t>
  </si>
  <si>
    <t>昆明市合计</t>
  </si>
  <si>
    <t>宜良县</t>
  </si>
  <si>
    <t>昆明市本级</t>
  </si>
  <si>
    <t>石林县</t>
  </si>
  <si>
    <t>县级小计</t>
  </si>
  <si>
    <t>嵩明县</t>
  </si>
  <si>
    <t>非贫困县</t>
  </si>
  <si>
    <t>禄劝县</t>
  </si>
  <si>
    <t>寻甸县</t>
  </si>
  <si>
    <t>安宁市</t>
  </si>
  <si>
    <t>昭通市合计</t>
  </si>
  <si>
    <t>昭通市本级</t>
  </si>
  <si>
    <t>昭阳区</t>
  </si>
  <si>
    <t>鲁甸县</t>
  </si>
  <si>
    <t>巧家县</t>
  </si>
  <si>
    <t>盐津县</t>
  </si>
  <si>
    <t>大关县</t>
  </si>
  <si>
    <t>永善县</t>
  </si>
  <si>
    <t>贫困</t>
  </si>
  <si>
    <t>省级</t>
  </si>
  <si>
    <t>绥江县</t>
  </si>
  <si>
    <t>深度贫困</t>
  </si>
  <si>
    <t>国家</t>
  </si>
  <si>
    <t>镇雄县</t>
  </si>
  <si>
    <t>彝良县</t>
  </si>
  <si>
    <t>威信县</t>
  </si>
  <si>
    <t>水富市</t>
  </si>
  <si>
    <t>曲靖市合计</t>
  </si>
  <si>
    <t>曲靖市本级</t>
  </si>
  <si>
    <t>麒麟区</t>
  </si>
  <si>
    <t>马龙区</t>
  </si>
  <si>
    <t>陆良县</t>
  </si>
  <si>
    <t>师宗县</t>
  </si>
  <si>
    <t>罗平县</t>
  </si>
  <si>
    <t>富源县</t>
  </si>
  <si>
    <t>会泽县</t>
  </si>
  <si>
    <t>沾益区</t>
  </si>
  <si>
    <t>宣威市</t>
  </si>
  <si>
    <t>玉溪市合计</t>
  </si>
  <si>
    <t>玉溪市本级</t>
  </si>
  <si>
    <t>红塔区</t>
  </si>
  <si>
    <t>江川区</t>
  </si>
  <si>
    <t>澄江市</t>
  </si>
  <si>
    <t>通海县</t>
  </si>
  <si>
    <t>华宁县</t>
  </si>
  <si>
    <t>易门县</t>
  </si>
  <si>
    <t>峨山县</t>
  </si>
  <si>
    <t>新平县</t>
  </si>
  <si>
    <t>元江县</t>
  </si>
  <si>
    <t>红河州合计</t>
  </si>
  <si>
    <t>红河州本级</t>
  </si>
  <si>
    <t>个旧市</t>
  </si>
  <si>
    <t>开远市</t>
  </si>
  <si>
    <t>蒙自市</t>
  </si>
  <si>
    <t>屏边县</t>
  </si>
  <si>
    <t>建水县</t>
  </si>
  <si>
    <t>石屏县</t>
  </si>
  <si>
    <t>弥勒市</t>
  </si>
  <si>
    <t>泸西县</t>
  </si>
  <si>
    <t>元阳县</t>
  </si>
  <si>
    <t>红河县</t>
  </si>
  <si>
    <t>金平县</t>
  </si>
  <si>
    <t>绿春县</t>
  </si>
  <si>
    <t>河口县</t>
  </si>
  <si>
    <t>文山州合计</t>
  </si>
  <si>
    <t>文山州本级</t>
  </si>
  <si>
    <t>文山市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</si>
  <si>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</si>
  <si>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</si>
  <si>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</si>
  <si>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</si>
  <si>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</si>
  <si>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</si>
  <si>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</si>
  <si>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是</t>
  </si>
  <si>
    <t>普洱市合计</t>
  </si>
  <si>
    <t>普洱市本级</t>
  </si>
  <si>
    <t>思茅区</t>
  </si>
  <si>
    <t>宁洱县</t>
  </si>
  <si>
    <t>墨江县</t>
  </si>
  <si>
    <t>景东县</t>
  </si>
  <si>
    <t>景谷县</t>
  </si>
  <si>
    <t>镇沅县</t>
  </si>
  <si>
    <t>江城县</t>
  </si>
  <si>
    <t>孟连县</t>
  </si>
  <si>
    <t>澜沧县</t>
  </si>
  <si>
    <t>西盟县</t>
  </si>
  <si>
    <t>西双版纳州合计</t>
  </si>
  <si>
    <t>西双版纳州本级</t>
  </si>
  <si>
    <t>景洪市</t>
  </si>
  <si>
    <t>勐海县</t>
  </si>
  <si>
    <t>勐腊县</t>
  </si>
  <si>
    <t>楚雄州合计</t>
  </si>
  <si>
    <t>楚雄州本级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</si>
  <si>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</si>
  <si>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</si>
  <si>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</si>
  <si>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</si>
  <si>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</si>
  <si>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</si>
  <si>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</si>
  <si>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</si>
  <si>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</si>
  <si>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禄丰市</t>
  </si>
  <si>
    <t>大理州合计</t>
  </si>
  <si>
    <t>大理州本级</t>
  </si>
  <si>
    <t>大理市</t>
  </si>
  <si>
    <t>漾濞县</t>
  </si>
  <si>
    <t>祥云县</t>
  </si>
  <si>
    <t>宾川县</t>
  </si>
  <si>
    <t>弥渡县</t>
  </si>
  <si>
    <t>南涧县</t>
  </si>
  <si>
    <t>巍山县</t>
  </si>
  <si>
    <t>永平县</t>
  </si>
  <si>
    <t>云龙县</t>
  </si>
  <si>
    <t>洱源县</t>
  </si>
  <si>
    <t>剑川县</t>
  </si>
  <si>
    <t>鹤庆县</t>
  </si>
  <si>
    <t>保山市合计</t>
  </si>
  <si>
    <t>保山市本级</t>
  </si>
  <si>
    <t>隆阳区</t>
  </si>
  <si>
    <t>施甸县</t>
  </si>
  <si>
    <t>腾冲市</t>
  </si>
  <si>
    <t>龙陵县</t>
  </si>
  <si>
    <t>昌宁县</t>
  </si>
  <si>
    <t>德宏州合计</t>
  </si>
  <si>
    <t>德宏州本级</t>
  </si>
  <si>
    <t>瑞丽市</t>
  </si>
  <si>
    <t>芒市</t>
  </si>
  <si>
    <t>梁河县</t>
  </si>
  <si>
    <t>盈江县</t>
  </si>
  <si>
    <t>陇川县</t>
  </si>
  <si>
    <t>丽江市合计</t>
  </si>
  <si>
    <t>丽江市本级</t>
  </si>
  <si>
    <t>古城区</t>
  </si>
  <si>
    <t>玉龙县</t>
  </si>
  <si>
    <t>永胜县</t>
  </si>
  <si>
    <t>华坪县</t>
  </si>
  <si>
    <t>宁蒗县</t>
  </si>
  <si>
    <t>怒江州合计</t>
  </si>
  <si>
    <t>怒江州本级</t>
  </si>
  <si>
    <t>泸水市</t>
  </si>
  <si>
    <t>福贡县</t>
  </si>
  <si>
    <t>贡山县</t>
  </si>
  <si>
    <t>兰坪县</t>
  </si>
  <si>
    <t>迪庆州合计</t>
  </si>
  <si>
    <t>迪庆州本级</t>
  </si>
  <si>
    <t>香格里拉市</t>
  </si>
  <si>
    <t>德钦县</t>
  </si>
  <si>
    <t>维西县</t>
  </si>
  <si>
    <t>临沧市合计</t>
  </si>
  <si>
    <t>临沧市本级</t>
  </si>
  <si>
    <t>临翔区</t>
  </si>
  <si>
    <t>凤庆县</t>
  </si>
  <si>
    <t>云县</t>
  </si>
  <si>
    <t>永德县</t>
  </si>
  <si>
    <t>镇康县</t>
  </si>
  <si>
    <t>双江县</t>
  </si>
  <si>
    <t>耿马县</t>
  </si>
  <si>
    <t>沧源县</t>
  </si>
  <si>
    <t>（三）使用成效指标8.预算执行率</t>
  </si>
  <si>
    <t/>
  </si>
  <si>
    <t>级次</t>
  </si>
  <si>
    <t>考核年度结转结余的财政衔接
资金数之和（万元）</t>
  </si>
  <si>
    <t>2019年度及以前</t>
  </si>
  <si>
    <t>2020年度</t>
  </si>
  <si>
    <t>2021年度</t>
  </si>
  <si>
    <t>资金总额</t>
  </si>
  <si>
    <t>中央资金</t>
  </si>
  <si>
    <t>省级资金</t>
  </si>
  <si>
    <t>市级资金</t>
  </si>
  <si>
    <t>县级资金</t>
  </si>
  <si>
    <t>进度</t>
  </si>
  <si>
    <t>1</t>
  </si>
  <si>
    <t>10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</si>
  <si>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</si>
  <si>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</si>
  <si>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</si>
  <si>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</si>
  <si>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</si>
  <si>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</si>
  <si>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</si>
  <si>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</si>
  <si>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</si>
  <si>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</si>
  <si>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</si>
  <si>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</si>
  <si>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</si>
  <si>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</si>
  <si>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</si>
  <si>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</si>
  <si>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</si>
  <si>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</si>
  <si>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</si>
  <si>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</si>
  <si>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</si>
  <si>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</t>
  </si>
  <si>
    <t>120</t>
  </si>
  <si>
    <t>121</t>
  </si>
  <si>
    <t>122</t>
  </si>
  <si>
    <t>123</t>
  </si>
  <si>
    <t>124</t>
  </si>
  <si>
    <t>13</t>
  </si>
  <si>
    <t>14</t>
  </si>
  <si>
    <t>15</t>
  </si>
  <si>
    <t>16</t>
  </si>
  <si>
    <t>17</t>
  </si>
  <si>
    <t>18</t>
  </si>
  <si>
    <t>19</t>
  </si>
  <si>
    <t>2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</si>
  <si>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</si>
  <si>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</si>
  <si>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</si>
  <si>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</si>
  <si>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</si>
  <si>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</si>
  <si>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</si>
  <si>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</si>
  <si>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</si>
  <si>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</si>
  <si>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</si>
  <si>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</si>
  <si>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</si>
  <si>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</si>
  <si>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</si>
  <si>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</si>
  <si>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</si>
  <si>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</si>
  <si>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</si>
  <si>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</si>
  <si>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</si>
  <si>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</si>
  <si>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</si>
  <si>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</si>
  <si>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</si>
  <si>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</si>
  <si>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</si>
  <si>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</si>
  <si>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</si>
  <si>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</si>
  <si>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</si>
  <si>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</si>
  <si>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</si>
  <si>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</si>
  <si>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</si>
  <si>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</si>
  <si>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</si>
  <si>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</si>
  <si>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</si>
  <si>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</si>
  <si>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</si>
  <si>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</si>
  <si>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</si>
  <si>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</si>
  <si>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</si>
  <si>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</si>
  <si>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</si>
  <si>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</si>
  <si>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</si>
  <si>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</si>
  <si>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</si>
  <si>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</si>
  <si>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</si>
  <si>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</si>
  <si>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</si>
  <si>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</si>
  <si>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</si>
  <si>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</si>
  <si>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</si>
  <si>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</si>
  <si>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</si>
  <si>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</si>
  <si>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</si>
  <si>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</si>
  <si>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</si>
  <si>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</si>
  <si>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</si>
  <si>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</si>
  <si>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</si>
  <si>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</si>
  <si>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</si>
  <si>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</si>
  <si>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</si>
  <si>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</si>
  <si>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</si>
  <si>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</si>
  <si>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</si>
  <si>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</si>
  <si>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</si>
  <si>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</si>
  <si>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</si>
  <si>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</si>
  <si>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</si>
  <si>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</si>
  <si>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</si>
  <si>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</si>
  <si>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</si>
  <si>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2022年度边境小康村到县资金规模情况表（截止12月31日）</t>
  </si>
  <si>
    <t>州市</t>
  </si>
  <si>
    <t>应保障金额</t>
  </si>
  <si>
    <t>省乡村振兴局保障金额（折算）</t>
  </si>
  <si>
    <t>2021年已下达资金</t>
  </si>
  <si>
    <t>2022年已预拨资金</t>
  </si>
  <si>
    <t>边境县缺口资金（正数为缺口资金，合计为正数合计）</t>
  </si>
  <si>
    <t>总计</t>
  </si>
  <si>
    <t>中央</t>
  </si>
  <si>
    <t>2021年</t>
  </si>
  <si>
    <t>2022年</t>
  </si>
  <si>
    <t>红河州</t>
  </si>
  <si>
    <t>文山州</t>
  </si>
  <si>
    <t>普洱市</t>
  </si>
  <si>
    <t>版纳州</t>
  </si>
  <si>
    <t>保山市</t>
  </si>
  <si>
    <t>德宏州</t>
  </si>
  <si>
    <t>怒江州</t>
  </si>
  <si>
    <t>临沧市</t>
  </si>
  <si>
    <t>附件1</t>
  </si>
  <si>
    <t>2023年省级财政衔接推进乡村振兴补助资金下达表</t>
  </si>
  <si>
    <t>县（区）</t>
  </si>
  <si>
    <t>本次下达合计</t>
  </si>
  <si>
    <t>政策因素</t>
  </si>
  <si>
    <t>易地扶贫搬迁安置点以奖代补因素</t>
  </si>
  <si>
    <t>易地扶贫搬迁进城大型安置区水电物业费       减免补贴因素</t>
  </si>
  <si>
    <t>2023年补助</t>
  </si>
  <si>
    <t>2022年清算扣回</t>
  </si>
  <si>
    <t>备注：宣威市资金363.2万元由省财政厅直接下达</t>
  </si>
  <si>
    <t>附件2</t>
  </si>
  <si>
    <t>2022年中央财政衔接推进乡村振兴补助资金提前下达测算分配表（财政测算）</t>
  </si>
  <si>
    <t>巩固拓展脱贫攻坚成果和乡村振兴任务</t>
  </si>
  <si>
    <t>以工代赈任务</t>
  </si>
  <si>
    <t>欠发达国有农场巩固提升任务</t>
  </si>
  <si>
    <t>欠发达国有林场巩固提升任务</t>
  </si>
  <si>
    <t>因素2.相关人群收入（权重20%）</t>
  </si>
  <si>
    <t>因素3.政策因素（权重45%）</t>
  </si>
  <si>
    <t>本次测算安排数合计</t>
  </si>
  <si>
    <t>2021年同口径数</t>
  </si>
  <si>
    <t>较2021年同口径增减金额</t>
  </si>
  <si>
    <t>较2021年同口径增减比例</t>
  </si>
  <si>
    <t>边境小康村（10%）</t>
  </si>
  <si>
    <t>国家和省级乡村振兴重点帮扶县（33.6%）</t>
  </si>
  <si>
    <t>“百千万”精品示范村(0.8%)</t>
  </si>
  <si>
    <t>受灾因素（0.6%）</t>
  </si>
  <si>
    <t>绩效考核（2.5%）</t>
  </si>
  <si>
    <t>按国家重点帮扶县每县1800万元测算分配金额</t>
  </si>
  <si>
    <t>个数</t>
  </si>
  <si>
    <t>截至11月30日支出进度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</si>
</sst>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_);[Red]\(0.0000\)"/>
    <numFmt numFmtId="177" formatCode="0_ "/>
    <numFmt numFmtId="178" formatCode="0_ ;[Red]\-0\ "/>
    <numFmt numFmtId="179" formatCode="0.00_ "/>
    <numFmt numFmtId="180" formatCode="0.0%"/>
    <numFmt numFmtId="181" formatCode="0_);[Red]\(0\)"/>
  </numFmts>
  <fonts count="4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0"/>
      <name val="Times New Roman"/>
      <charset val="134"/>
    </font>
    <font>
      <sz val="12"/>
      <name val="宋体"/>
      <charset val="134"/>
      <scheme val="minor"/>
    </font>
    <font>
      <sz val="10"/>
      <name val="Times New Roman"/>
      <charset val="134"/>
    </font>
    <font>
      <sz val="12"/>
      <name val="宋体"/>
      <charset val="134"/>
    </font>
    <font>
      <sz val="18"/>
      <name val="方正小标宋简体"/>
      <charset val="134"/>
    </font>
    <font>
      <b/>
      <sz val="12"/>
      <name val="宋体"/>
      <charset val="134"/>
    </font>
    <font>
      <b/>
      <sz val="12"/>
      <color rgb="FFFF000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indexed="8"/>
      <name val="宋体"/>
      <charset val="134"/>
      <scheme val="minor"/>
    </font>
    <font>
      <b/>
      <sz val="20"/>
      <name val="Microsoft YaHei"/>
      <charset val="134"/>
    </font>
    <font>
      <sz val="10"/>
      <name val="SimSun"/>
      <charset val="134"/>
    </font>
    <font>
      <b/>
      <sz val="10"/>
      <name val="SimSun"/>
      <charset val="134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8" fillId="1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40" fillId="24" borderId="19" applyNumberFormat="0" applyAlignment="0" applyProtection="0">
      <alignment vertical="center"/>
    </xf>
    <xf numFmtId="0" fontId="47" fillId="24" borderId="17" applyNumberFormat="0" applyAlignment="0" applyProtection="0">
      <alignment vertical="center"/>
    </xf>
    <xf numFmtId="0" fontId="44" fillId="32" borderId="20" applyNumberForma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17" fillId="0" borderId="0"/>
    <xf numFmtId="0" fontId="33" fillId="0" borderId="16" applyNumberFormat="0" applyFill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7" fillId="0" borderId="0">
      <alignment vertical="center"/>
    </xf>
    <xf numFmtId="0" fontId="29" fillId="33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8" fillId="0" borderId="0" applyAlignment="0">
      <alignment vertical="top" wrapText="1"/>
      <protection locked="0"/>
    </xf>
  </cellStyleXfs>
  <cellXfs count="20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5" fillId="2" borderId="4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 applyAlignment="1" applyProtection="1">
      <alignment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178" fontId="3" fillId="0" borderId="4" xfId="0" applyNumberFormat="1" applyFont="1" applyBorder="1" applyAlignment="1">
      <alignment horizontal="right" vertical="center"/>
    </xf>
    <xf numFmtId="178" fontId="3" fillId="0" borderId="4" xfId="0" applyNumberFormat="1" applyFont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>
      <alignment vertical="center"/>
    </xf>
    <xf numFmtId="0" fontId="5" fillId="4" borderId="4" xfId="0" applyFont="1" applyFill="1" applyBorder="1" applyAlignment="1" applyProtection="1">
      <alignment vertical="center" wrapText="1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5" xfId="0" applyFont="1" applyFill="1" applyBorder="1" applyAlignment="1" applyProtection="1">
      <alignment horizontal="center" vertical="center"/>
    </xf>
    <xf numFmtId="177" fontId="6" fillId="4" borderId="4" xfId="0" applyNumberFormat="1" applyFont="1" applyFill="1" applyBorder="1" applyAlignment="1" applyProtection="1">
      <alignment horizontal="right" vertical="center"/>
    </xf>
    <xf numFmtId="177" fontId="6" fillId="0" borderId="4" xfId="0" applyNumberFormat="1" applyFont="1" applyFill="1" applyBorder="1" applyAlignment="1" applyProtection="1">
      <alignment horizontal="right" vertical="center"/>
    </xf>
    <xf numFmtId="0" fontId="3" fillId="5" borderId="4" xfId="0" applyFont="1" applyFill="1" applyBorder="1" applyAlignment="1">
      <alignment vertical="center"/>
    </xf>
    <xf numFmtId="0" fontId="3" fillId="5" borderId="4" xfId="0" applyFont="1" applyFill="1" applyBorder="1" applyAlignment="1" applyProtection="1">
      <alignment vertical="center" wrapText="1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center" vertical="center"/>
    </xf>
    <xf numFmtId="177" fontId="6" fillId="5" borderId="4" xfId="0" applyNumberFormat="1" applyFont="1" applyFill="1" applyBorder="1" applyAlignment="1" applyProtection="1">
      <alignment horizontal="right" vertical="center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left" vertical="center" wrapText="1"/>
    </xf>
    <xf numFmtId="178" fontId="3" fillId="4" borderId="4" xfId="0" applyNumberFormat="1" applyFont="1" applyFill="1" applyBorder="1" applyAlignment="1">
      <alignment horizontal="right" vertical="center"/>
    </xf>
    <xf numFmtId="178" fontId="3" fillId="5" borderId="4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left" vertical="center" wrapText="1"/>
    </xf>
    <xf numFmtId="177" fontId="3" fillId="0" borderId="0" xfId="0" applyNumberFormat="1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4" xfId="0" applyNumberFormat="1" applyFont="1" applyBorder="1" applyAlignment="1">
      <alignment horizontal="center" vertical="center"/>
    </xf>
    <xf numFmtId="0" fontId="7" fillId="0" borderId="5" xfId="53" applyNumberFormat="1" applyFont="1" applyFill="1" applyBorder="1" applyAlignment="1">
      <alignment horizontal="center" vertical="center" wrapText="1"/>
    </xf>
    <xf numFmtId="0" fontId="7" fillId="0" borderId="6" xfId="53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right" vertical="center"/>
    </xf>
    <xf numFmtId="0" fontId="3" fillId="0" borderId="4" xfId="0" applyNumberFormat="1" applyFont="1" applyBorder="1" applyAlignment="1">
      <alignment horizontal="right" vertical="center"/>
    </xf>
    <xf numFmtId="0" fontId="6" fillId="0" borderId="4" xfId="0" applyNumberFormat="1" applyFont="1" applyFill="1" applyBorder="1" applyAlignment="1" applyProtection="1">
      <alignment horizontal="right" vertical="center"/>
    </xf>
    <xf numFmtId="0" fontId="6" fillId="4" borderId="4" xfId="0" applyNumberFormat="1" applyFont="1" applyFill="1" applyBorder="1" applyAlignment="1" applyProtection="1">
      <alignment horizontal="right" vertical="center"/>
    </xf>
    <xf numFmtId="0" fontId="3" fillId="0" borderId="4" xfId="0" applyNumberFormat="1" applyFont="1" applyFill="1" applyBorder="1" applyAlignment="1" applyProtection="1">
      <alignment horizontal="right" vertical="center"/>
    </xf>
    <xf numFmtId="0" fontId="6" fillId="5" borderId="4" xfId="0" applyNumberFormat="1" applyFont="1" applyFill="1" applyBorder="1" applyAlignment="1" applyProtection="1">
      <alignment horizontal="right" vertical="center"/>
    </xf>
    <xf numFmtId="0" fontId="3" fillId="3" borderId="4" xfId="0" applyNumberFormat="1" applyFont="1" applyFill="1" applyBorder="1" applyAlignment="1" applyProtection="1">
      <alignment horizontal="right" vertical="center"/>
    </xf>
    <xf numFmtId="0" fontId="6" fillId="3" borderId="4" xfId="0" applyNumberFormat="1" applyFont="1" applyFill="1" applyBorder="1" applyAlignment="1" applyProtection="1">
      <alignment horizontal="right" vertical="center"/>
    </xf>
    <xf numFmtId="0" fontId="3" fillId="3" borderId="4" xfId="0" applyFont="1" applyFill="1" applyBorder="1" applyAlignment="1" applyProtection="1">
      <alignment horizontal="right" vertical="center"/>
    </xf>
    <xf numFmtId="178" fontId="6" fillId="3" borderId="4" xfId="0" applyNumberFormat="1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right" vertical="center"/>
    </xf>
    <xf numFmtId="178" fontId="6" fillId="0" borderId="4" xfId="0" applyNumberFormat="1" applyFont="1" applyFill="1" applyBorder="1" applyAlignment="1" applyProtection="1">
      <alignment horizontal="right" vertical="center"/>
    </xf>
    <xf numFmtId="178" fontId="6" fillId="4" borderId="4" xfId="0" applyNumberFormat="1" applyFont="1" applyFill="1" applyBorder="1" applyAlignment="1" applyProtection="1">
      <alignment horizontal="right" vertical="center"/>
    </xf>
    <xf numFmtId="178" fontId="6" fillId="5" borderId="4" xfId="0" applyNumberFormat="1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right" vertical="center"/>
    </xf>
    <xf numFmtId="178" fontId="6" fillId="2" borderId="4" xfId="0" applyNumberFormat="1" applyFont="1" applyFill="1" applyBorder="1" applyAlignment="1" applyProtection="1">
      <alignment horizontal="right" vertical="center"/>
    </xf>
    <xf numFmtId="0" fontId="7" fillId="0" borderId="7" xfId="53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77" fontId="6" fillId="3" borderId="4" xfId="0" applyNumberFormat="1" applyFont="1" applyFill="1" applyBorder="1" applyAlignment="1" applyProtection="1">
      <alignment horizontal="right" vertical="center"/>
    </xf>
    <xf numFmtId="177" fontId="6" fillId="2" borderId="4" xfId="0" applyNumberFormat="1" applyFont="1" applyFill="1" applyBorder="1" applyAlignment="1" applyProtection="1">
      <alignment horizontal="right" vertical="center"/>
    </xf>
    <xf numFmtId="0" fontId="7" fillId="0" borderId="8" xfId="53" applyNumberFormat="1" applyFont="1" applyFill="1" applyBorder="1" applyAlignment="1">
      <alignment horizontal="center" vertical="center" wrapText="1"/>
    </xf>
    <xf numFmtId="0" fontId="7" fillId="0" borderId="9" xfId="53" applyNumberFormat="1" applyFont="1" applyFill="1" applyBorder="1" applyAlignment="1">
      <alignment horizontal="center" vertical="center" wrapText="1"/>
    </xf>
    <xf numFmtId="0" fontId="7" fillId="0" borderId="10" xfId="53" applyNumberFormat="1" applyFont="1" applyFill="1" applyBorder="1" applyAlignment="1">
      <alignment horizontal="center" vertical="center" wrapText="1"/>
    </xf>
    <xf numFmtId="0" fontId="7" fillId="0" borderId="4" xfId="53" applyNumberFormat="1" applyFont="1" applyFill="1" applyBorder="1" applyAlignment="1">
      <alignment horizontal="center" vertical="center" wrapText="1"/>
    </xf>
    <xf numFmtId="0" fontId="7" fillId="0" borderId="11" xfId="53" applyNumberFormat="1" applyFont="1" applyFill="1" applyBorder="1" applyAlignment="1">
      <alignment horizontal="center" vertical="center" wrapText="1"/>
    </xf>
    <xf numFmtId="0" fontId="7" fillId="0" borderId="12" xfId="53" applyNumberFormat="1" applyFont="1" applyFill="1" applyBorder="1" applyAlignment="1">
      <alignment horizontal="center" vertical="center" wrapText="1"/>
    </xf>
    <xf numFmtId="0" fontId="7" fillId="0" borderId="13" xfId="53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vertical="center" wrapText="1"/>
    </xf>
    <xf numFmtId="177" fontId="7" fillId="0" borderId="4" xfId="0" applyNumberFormat="1" applyFont="1" applyFill="1" applyBorder="1" applyAlignment="1">
      <alignment horizontal="center" vertical="center" wrapText="1"/>
    </xf>
    <xf numFmtId="177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right" vertical="center"/>
    </xf>
    <xf numFmtId="176" fontId="6" fillId="3" borderId="4" xfId="0" applyNumberFormat="1" applyFont="1" applyFill="1" applyBorder="1" applyAlignment="1" applyProtection="1">
      <alignment horizontal="right" vertical="center"/>
    </xf>
    <xf numFmtId="176" fontId="6" fillId="0" borderId="4" xfId="0" applyNumberFormat="1" applyFont="1" applyFill="1" applyBorder="1" applyAlignment="1" applyProtection="1">
      <alignment horizontal="right" vertical="center"/>
    </xf>
    <xf numFmtId="176" fontId="3" fillId="4" borderId="4" xfId="0" applyNumberFormat="1" applyFont="1" applyFill="1" applyBorder="1" applyAlignment="1">
      <alignment horizontal="right" vertical="center"/>
    </xf>
    <xf numFmtId="176" fontId="3" fillId="5" borderId="4" xfId="0" applyNumberFormat="1" applyFont="1" applyFill="1" applyBorder="1" applyAlignment="1">
      <alignment horizontal="right" vertical="center"/>
    </xf>
    <xf numFmtId="176" fontId="6" fillId="2" borderId="4" xfId="0" applyNumberFormat="1" applyFont="1" applyFill="1" applyBorder="1" applyAlignment="1" applyProtection="1">
      <alignment horizontal="right" vertical="center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179" fontId="6" fillId="2" borderId="4" xfId="0" applyNumberFormat="1" applyFont="1" applyFill="1" applyBorder="1" applyAlignment="1" applyProtection="1">
      <alignment horizontal="right" vertical="center"/>
    </xf>
    <xf numFmtId="179" fontId="3" fillId="0" borderId="4" xfId="0" applyNumberFormat="1" applyFont="1" applyBorder="1" applyAlignment="1">
      <alignment horizontal="right" vertical="center"/>
    </xf>
    <xf numFmtId="179" fontId="6" fillId="0" borderId="4" xfId="0" applyNumberFormat="1" applyFont="1" applyFill="1" applyBorder="1" applyAlignment="1" applyProtection="1">
      <alignment horizontal="right" vertical="center"/>
    </xf>
    <xf numFmtId="179" fontId="6" fillId="4" borderId="4" xfId="0" applyNumberFormat="1" applyFont="1" applyFill="1" applyBorder="1" applyAlignment="1" applyProtection="1">
      <alignment horizontal="right" vertical="center"/>
    </xf>
    <xf numFmtId="179" fontId="6" fillId="5" borderId="4" xfId="0" applyNumberFormat="1" applyFont="1" applyFill="1" applyBorder="1" applyAlignment="1" applyProtection="1">
      <alignment horizontal="right" vertical="center"/>
    </xf>
    <xf numFmtId="179" fontId="3" fillId="4" borderId="4" xfId="0" applyNumberFormat="1" applyFont="1" applyFill="1" applyBorder="1" applyAlignment="1">
      <alignment horizontal="right" vertical="center"/>
    </xf>
    <xf numFmtId="177" fontId="3" fillId="4" borderId="4" xfId="0" applyNumberFormat="1" applyFont="1" applyFill="1" applyBorder="1" applyAlignment="1">
      <alignment horizontal="right" vertical="center"/>
    </xf>
    <xf numFmtId="179" fontId="3" fillId="5" borderId="4" xfId="0" applyNumberFormat="1" applyFont="1" applyFill="1" applyBorder="1" applyAlignment="1">
      <alignment horizontal="right" vertical="center"/>
    </xf>
    <xf numFmtId="177" fontId="3" fillId="5" borderId="4" xfId="0" applyNumberFormat="1" applyFont="1" applyFill="1" applyBorder="1" applyAlignment="1">
      <alignment horizontal="right" vertical="center"/>
    </xf>
    <xf numFmtId="179" fontId="6" fillId="3" borderId="4" xfId="0" applyNumberFormat="1" applyFont="1" applyFill="1" applyBorder="1" applyAlignment="1" applyProtection="1">
      <alignment horizontal="right" vertical="center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180" fontId="6" fillId="2" borderId="4" xfId="0" applyNumberFormat="1" applyFont="1" applyFill="1" applyBorder="1" applyAlignment="1" applyProtection="1">
      <alignment horizontal="right" vertical="center"/>
    </xf>
    <xf numFmtId="180" fontId="6" fillId="0" borderId="4" xfId="0" applyNumberFormat="1" applyFont="1" applyFill="1" applyBorder="1" applyAlignment="1" applyProtection="1">
      <alignment horizontal="right" vertical="center"/>
    </xf>
    <xf numFmtId="177" fontId="6" fillId="0" borderId="4" xfId="0" applyNumberFormat="1" applyFont="1" applyFill="1" applyBorder="1" applyAlignment="1" applyProtection="1">
      <alignment vertical="center"/>
    </xf>
    <xf numFmtId="177" fontId="6" fillId="4" borderId="4" xfId="0" applyNumberFormat="1" applyFont="1" applyFill="1" applyBorder="1" applyAlignment="1" applyProtection="1">
      <alignment vertical="center"/>
    </xf>
    <xf numFmtId="177" fontId="6" fillId="5" borderId="4" xfId="0" applyNumberFormat="1" applyFont="1" applyFill="1" applyBorder="1" applyAlignment="1" applyProtection="1">
      <alignment vertical="center"/>
    </xf>
    <xf numFmtId="180" fontId="6" fillId="3" borderId="4" xfId="0" applyNumberFormat="1" applyFont="1" applyFill="1" applyBorder="1" applyAlignment="1" applyProtection="1">
      <alignment horizontal="right" vertical="center"/>
    </xf>
    <xf numFmtId="0" fontId="3" fillId="5" borderId="4" xfId="0" applyFont="1" applyFill="1" applyBorder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right" vertical="center"/>
    </xf>
    <xf numFmtId="176" fontId="6" fillId="5" borderId="4" xfId="0" applyNumberFormat="1" applyFont="1" applyFill="1" applyBorder="1" applyAlignment="1" applyProtection="1">
      <alignment horizontal="right" vertical="center"/>
    </xf>
    <xf numFmtId="180" fontId="6" fillId="5" borderId="4" xfId="0" applyNumberFormat="1" applyFont="1" applyFill="1" applyBorder="1" applyAlignment="1" applyProtection="1">
      <alignment horizontal="right" vertical="center"/>
    </xf>
    <xf numFmtId="181" fontId="3" fillId="5" borderId="4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179" fontId="3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4" fillId="0" borderId="0" xfId="0" applyFont="1" applyFill="1" applyAlignment="1" applyProtection="1">
      <alignment horizontal="center" vertical="center" wrapText="1"/>
      <protection locked="0"/>
    </xf>
    <xf numFmtId="179" fontId="11" fillId="0" borderId="0" xfId="0" applyNumberFormat="1" applyFont="1" applyAlignment="1">
      <alignment horizontal="right" vertical="center"/>
    </xf>
    <xf numFmtId="0" fontId="12" fillId="0" borderId="4" xfId="0" applyFont="1" applyFill="1" applyBorder="1" applyAlignment="1" applyProtection="1">
      <alignment horizontal="center" vertical="center" wrapText="1"/>
    </xf>
    <xf numFmtId="179" fontId="12" fillId="0" borderId="4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179" fontId="12" fillId="0" borderId="4" xfId="0" applyNumberFormat="1" applyFont="1" applyFill="1" applyBorder="1" applyAlignment="1">
      <alignment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177" fontId="17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177" fontId="18" fillId="0" borderId="0" xfId="0" applyNumberFormat="1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177" fontId="20" fillId="0" borderId="4" xfId="0" applyNumberFormat="1" applyFont="1" applyFill="1" applyBorder="1" applyAlignment="1">
      <alignment horizontal="center" vertical="center" wrapText="1"/>
    </xf>
    <xf numFmtId="177" fontId="19" fillId="0" borderId="4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179" fontId="21" fillId="0" borderId="4" xfId="0" applyNumberFormat="1" applyFont="1" applyFill="1" applyBorder="1" applyAlignment="1">
      <alignment horizontal="right" vertical="center"/>
    </xf>
    <xf numFmtId="177" fontId="21" fillId="0" borderId="4" xfId="0" applyNumberFormat="1" applyFont="1" applyFill="1" applyBorder="1" applyAlignment="1">
      <alignment horizontal="right" vertical="center"/>
    </xf>
    <xf numFmtId="0" fontId="22" fillId="0" borderId="4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177" fontId="17" fillId="0" borderId="0" xfId="0" applyNumberFormat="1" applyFont="1" applyFill="1" applyBorder="1" applyAlignment="1">
      <alignment horizontal="center" vertical="center"/>
    </xf>
    <xf numFmtId="177" fontId="21" fillId="3" borderId="4" xfId="0" applyNumberFormat="1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right" vertical="center" wrapText="1"/>
    </xf>
    <xf numFmtId="0" fontId="23" fillId="0" borderId="0" xfId="0" applyFont="1" applyFill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177" fontId="3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177" fontId="3" fillId="0" borderId="4" xfId="0" applyNumberFormat="1" applyFont="1" applyFill="1" applyBorder="1" applyAlignment="1" applyProtection="1">
      <alignment horizontal="right" vertical="center"/>
    </xf>
    <xf numFmtId="177" fontId="6" fillId="2" borderId="4" xfId="0" applyNumberFormat="1" applyFont="1" applyFill="1" applyBorder="1" applyAlignment="1" applyProtection="1">
      <alignment vertical="center"/>
    </xf>
    <xf numFmtId="177" fontId="3" fillId="0" borderId="4" xfId="0" applyNumberFormat="1" applyFont="1" applyBorder="1" applyAlignment="1">
      <alignment vertical="center"/>
    </xf>
    <xf numFmtId="0" fontId="8" fillId="0" borderId="4" xfId="0" applyNumberFormat="1" applyFont="1" applyFill="1" applyBorder="1" applyAlignment="1">
      <alignment vertical="center" wrapText="1"/>
    </xf>
    <xf numFmtId="177" fontId="4" fillId="0" borderId="0" xfId="0" applyNumberFormat="1" applyFont="1" applyFill="1" applyAlignment="1" applyProtection="1">
      <alignment horizontal="center" vertical="center"/>
      <protection locked="0"/>
    </xf>
    <xf numFmtId="177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7" fillId="0" borderId="0" xfId="0" applyFont="1" applyFill="1">
      <alignment vertical="center"/>
    </xf>
    <xf numFmtId="177" fontId="5" fillId="0" borderId="4" xfId="0" applyNumberFormat="1" applyFont="1" applyFill="1" applyBorder="1" applyAlignment="1" applyProtection="1">
      <alignment horizontal="center" vertical="center" wrapText="1"/>
    </xf>
    <xf numFmtId="180" fontId="3" fillId="0" borderId="4" xfId="0" applyNumberFormat="1" applyFont="1" applyFill="1" applyBorder="1">
      <alignment vertical="center"/>
    </xf>
    <xf numFmtId="0" fontId="28" fillId="0" borderId="0" xfId="0" applyFont="1" applyFill="1">
      <alignment vertical="center"/>
    </xf>
    <xf numFmtId="180" fontId="6" fillId="4" borderId="4" xfId="0" applyNumberFormat="1" applyFont="1" applyFill="1" applyBorder="1" applyAlignment="1" applyProtection="1">
      <alignment horizontal="right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1998—2004年决算资料整理第三部分 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2011年" xfId="50"/>
    <cellStyle name="60% - 强调文字颜色 6" xfId="51" builtinId="52"/>
    <cellStyle name="常规 4" xfId="52"/>
    <cellStyle name="常规 2" xfId="53"/>
    <cellStyle name="常规_扶持人口较少民族发展动态监测系统15" xfId="54"/>
  </cellStyles>
  <tableStyles count="0" defaultTableStyle="TableStyleMedium2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3.xml"/><Relationship Id="rId7" Type="http://schemas.openxmlformats.org/officeDocument/2006/relationships/externalLink" Target="externalLinks/externalLink2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ata\2022&#24180;&#29579;&#29734;&#30340;&#25991;&#20214;&#22841;\&#36164;&#37329;&#19979;&#36798;\&#30465;&#32423;&#36164;&#37329;&#20998;&#37197;&#26041;&#26696;\2.12\\data\2022&#24180;&#29579;&#29734;&#30340;&#25991;&#20214;&#22841;\&#36164;&#37329;&#19979;&#36798;\&#30465;&#32423;&#36164;&#37329;&#20998;&#37197;&#26041;&#26696;\&#21021;&#31295;1.7\11.30%20&#34900;&#25509;&#36164;&#37329;&#25903;&#20986;&#36827;&#24230;&#24773;&#20917;&#34920;-&#20840;&#22269;&#38450;&#36820;&#36139;&#30417;&#27979;&#20449;&#24687;&#31995;&#32479;&#23548;&#20986;&#21152;&#24037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data\2022&#24180;&#29579;&#29734;&#30340;&#25991;&#20214;&#22841;\&#36164;&#37329;&#19979;&#36798;\&#30465;&#32423;&#36164;&#37329;&#20998;&#37197;&#26041;&#26696;\2.12\\data\2022&#24180;&#29579;&#29734;&#30340;&#25991;&#20214;&#22841;\&#36164;&#37329;&#19979;&#36798;\&#30465;&#32423;&#36164;&#37329;&#20998;&#37197;&#26041;&#26696;\&#21021;&#31295;1.7\\liqiuhua\&#20892;&#19994;&#22788;&#24037;&#20316;&#26448;&#26009;\&#19987;&#39033;&#36164;&#37329;&#31649;&#29702;\&#20013;&#22830;&#36130;&#25919;&#34900;&#25509;&#25512;&#36827;&#20065;&#26449;&#25391;&#20852;&#34917;&#21161;&#36164;&#37329;\2022&#24180;\&#24041;&#22266;&#25299;&#23637;&#34900;&#25509;\&#8220;&#30334;&#21315;&#19975;&#8221;&#31934;&#21697;&#31034;&#33539;&#26449;&#26126;&#32454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data\2022&#24180;&#29579;&#29734;&#30340;&#25991;&#20214;&#22841;\&#36164;&#37329;&#19979;&#36798;\&#30465;&#32423;&#36164;&#37329;&#20998;&#37197;&#26041;&#26696;\2.12\\data\2022&#24180;&#29579;&#29734;&#30340;&#25991;&#20214;&#22841;\&#36164;&#37329;&#19979;&#36798;\&#30465;&#32423;&#36164;&#37329;&#20998;&#37197;&#26041;&#26696;\&#21021;&#31295;1.7\&#22522;&#30784;&#25968;&#25454;2021&#24180;&#34920;(&#27719;&#24635;&#34920;12.30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扶贫资金项目情况调度统计表"/>
      <sheetName val="调度表"/>
      <sheetName val="扶贫资金项目情况调度统计表 (2)"/>
    </sheetNames>
    <sheetDataSet>
      <sheetData sheetId="0"/>
      <sheetData sheetId="1"/>
      <sheetData sheetId="2">
        <row r="3">
          <cell r="B3" t="str">
            <v>县（市、区）</v>
          </cell>
          <cell r="C3" t="str">
            <v>资金安排情况</v>
          </cell>
          <cell r="D3" t="str">
            <v>各级财政专项扶贫资金到县及支出情况</v>
          </cell>
          <cell r="E3" t="str">
            <v>各级财政专项扶贫资金到县及支出情况</v>
          </cell>
          <cell r="F3" t="str">
            <v>各级财政专项扶贫资金到县及支出情况</v>
          </cell>
          <cell r="G3" t="str">
            <v>各级财政专项扶贫资金到县及支出情况</v>
          </cell>
          <cell r="H3" t="str">
            <v>资金支出情况
财政专项扶贫资金项目安排及其开工情况
财政专项扶贫资金项目安排及其开工情况
财政专项扶贫资金项目安排及其开工情况
财政专项扶贫资金项目安排及其开工情况</v>
          </cell>
        </row>
        <row r="4">
          <cell r="B4" t="str">
            <v>县</v>
          </cell>
          <cell r="C4" t="str">
            <v>合计</v>
          </cell>
          <cell r="D4" t="str">
            <v>中央</v>
          </cell>
          <cell r="E4" t="str">
            <v>省级</v>
          </cell>
          <cell r="F4" t="str">
            <v>市级</v>
          </cell>
          <cell r="G4" t="str">
            <v>县级</v>
          </cell>
          <cell r="H4" t="str">
            <v>小计</v>
          </cell>
        </row>
        <row r="5">
          <cell r="B5" t="str">
            <v>县</v>
          </cell>
          <cell r="C5" t="str">
            <v>  合计</v>
          </cell>
          <cell r="D5" t="str">
            <v>  中央</v>
          </cell>
          <cell r="E5" t="str">
            <v>   省级</v>
          </cell>
          <cell r="F5" t="str">
            <v>   市级</v>
          </cell>
          <cell r="G5" t="str">
            <v>   县级</v>
          </cell>
          <cell r="H5" t="str">
            <v>金额</v>
          </cell>
          <cell r="I5" t="str">
            <v>进度</v>
          </cell>
        </row>
        <row r="6">
          <cell r="C6">
            <v>2215226.0512</v>
          </cell>
          <cell r="D6">
            <v>1629932.24</v>
          </cell>
          <cell r="E6">
            <v>433825.22</v>
          </cell>
          <cell r="F6">
            <v>82992.03</v>
          </cell>
          <cell r="G6">
            <v>68476.5612</v>
          </cell>
          <cell r="H6">
            <v>1760004.8634</v>
          </cell>
          <cell r="I6">
            <v>0.794503505611356</v>
          </cell>
        </row>
        <row r="7">
          <cell r="C7">
            <v>107566.64</v>
          </cell>
          <cell r="D7">
            <v>64552.24</v>
          </cell>
          <cell r="E7">
            <v>13496.43</v>
          </cell>
          <cell r="F7">
            <v>26000</v>
          </cell>
          <cell r="G7">
            <v>3517.97</v>
          </cell>
          <cell r="H7">
            <v>90238.8449</v>
          </cell>
          <cell r="I7">
            <v>0.838911068524591</v>
          </cell>
        </row>
        <row r="8">
          <cell r="B8" t="str">
            <v>五华区</v>
          </cell>
          <cell r="C8">
            <v>200</v>
          </cell>
          <cell r="D8">
            <v>200</v>
          </cell>
          <cell r="E8">
            <v>0</v>
          </cell>
          <cell r="F8">
            <v>0</v>
          </cell>
          <cell r="G8">
            <v>0</v>
          </cell>
          <cell r="H8">
            <v>170.322</v>
          </cell>
          <cell r="I8">
            <v>0.85161</v>
          </cell>
        </row>
        <row r="9">
          <cell r="B9" t="str">
            <v>盘龙区</v>
          </cell>
          <cell r="C9">
            <v>2509</v>
          </cell>
          <cell r="D9">
            <v>365</v>
          </cell>
          <cell r="E9">
            <v>1163</v>
          </cell>
          <cell r="F9">
            <v>981</v>
          </cell>
          <cell r="G9">
            <v>0</v>
          </cell>
          <cell r="H9">
            <v>2480</v>
          </cell>
          <cell r="I9">
            <v>0.988441610203268</v>
          </cell>
        </row>
        <row r="10">
          <cell r="B10" t="str">
            <v>官渡区</v>
          </cell>
          <cell r="C10">
            <v>200</v>
          </cell>
          <cell r="D10">
            <v>200</v>
          </cell>
          <cell r="E10">
            <v>0</v>
          </cell>
          <cell r="F10">
            <v>0</v>
          </cell>
          <cell r="G10">
            <v>0</v>
          </cell>
          <cell r="H10">
            <v>200</v>
          </cell>
          <cell r="I10">
            <v>1</v>
          </cell>
        </row>
        <row r="11">
          <cell r="B11" t="str">
            <v>西山区</v>
          </cell>
          <cell r="C11">
            <v>410</v>
          </cell>
          <cell r="D11">
            <v>200</v>
          </cell>
          <cell r="E11">
            <v>210</v>
          </cell>
          <cell r="F11">
            <v>0</v>
          </cell>
          <cell r="G11">
            <v>0</v>
          </cell>
          <cell r="H11">
            <v>300</v>
          </cell>
          <cell r="I11">
            <v>0.731707317073171</v>
          </cell>
        </row>
        <row r="12">
          <cell r="B12" t="str">
            <v>东川区</v>
          </cell>
          <cell r="C12">
            <v>36944.8</v>
          </cell>
          <cell r="D12">
            <v>23040.24</v>
          </cell>
          <cell r="E12">
            <v>7028.43</v>
          </cell>
          <cell r="F12">
            <v>5758</v>
          </cell>
          <cell r="G12">
            <v>1118.13</v>
          </cell>
          <cell r="H12">
            <v>35607.153</v>
          </cell>
          <cell r="I12">
            <v>0.963793361988697</v>
          </cell>
        </row>
        <row r="13">
          <cell r="B13" t="str">
            <v>呈贡区</v>
          </cell>
          <cell r="C13">
            <v>201</v>
          </cell>
          <cell r="D13">
            <v>200</v>
          </cell>
          <cell r="E13">
            <v>1</v>
          </cell>
          <cell r="F13">
            <v>0</v>
          </cell>
          <cell r="G13">
            <v>0</v>
          </cell>
          <cell r="H13">
            <v>201</v>
          </cell>
          <cell r="I13">
            <v>1</v>
          </cell>
        </row>
        <row r="14">
          <cell r="B14" t="str">
            <v>晋宁区</v>
          </cell>
          <cell r="C14">
            <v>2850</v>
          </cell>
          <cell r="D14">
            <v>958</v>
          </cell>
          <cell r="E14">
            <v>198</v>
          </cell>
          <cell r="F14">
            <v>1194</v>
          </cell>
          <cell r="G14">
            <v>500</v>
          </cell>
          <cell r="H14">
            <v>2434.46</v>
          </cell>
          <cell r="I14">
            <v>0.85419649122807</v>
          </cell>
        </row>
        <row r="15">
          <cell r="B15" t="str">
            <v>富民县</v>
          </cell>
          <cell r="C15">
            <v>3423</v>
          </cell>
          <cell r="D15">
            <v>1262</v>
          </cell>
          <cell r="E15">
            <v>358</v>
          </cell>
          <cell r="F15">
            <v>1803</v>
          </cell>
          <cell r="G15">
            <v>0</v>
          </cell>
          <cell r="H15">
            <v>2987.9361</v>
          </cell>
          <cell r="I15">
            <v>0.872899824715162</v>
          </cell>
        </row>
        <row r="16">
          <cell r="B16" t="str">
            <v>宜良县</v>
          </cell>
          <cell r="C16">
            <v>2954</v>
          </cell>
          <cell r="D16">
            <v>926</v>
          </cell>
          <cell r="E16">
            <v>182</v>
          </cell>
          <cell r="F16">
            <v>1846</v>
          </cell>
          <cell r="G16">
            <v>0</v>
          </cell>
          <cell r="H16">
            <v>2598.1</v>
          </cell>
          <cell r="I16">
            <v>0.879519295870007</v>
          </cell>
        </row>
        <row r="17">
          <cell r="B17" t="str">
            <v>石林县</v>
          </cell>
          <cell r="C17">
            <v>3747.67</v>
          </cell>
          <cell r="D17">
            <v>1391</v>
          </cell>
          <cell r="E17">
            <v>246</v>
          </cell>
          <cell r="F17">
            <v>2089</v>
          </cell>
          <cell r="G17">
            <v>21.67</v>
          </cell>
          <cell r="H17">
            <v>3318.9529</v>
          </cell>
          <cell r="I17">
            <v>0.885604362177033</v>
          </cell>
        </row>
        <row r="18">
          <cell r="B18" t="str">
            <v>嵩明县</v>
          </cell>
          <cell r="C18">
            <v>4273.6</v>
          </cell>
          <cell r="D18">
            <v>1308</v>
          </cell>
          <cell r="E18">
            <v>612</v>
          </cell>
          <cell r="F18">
            <v>1965</v>
          </cell>
          <cell r="G18">
            <v>388.6</v>
          </cell>
          <cell r="H18">
            <v>3800.65</v>
          </cell>
          <cell r="I18">
            <v>0.889332178959191</v>
          </cell>
        </row>
        <row r="19">
          <cell r="B19" t="str">
            <v>禄劝县</v>
          </cell>
          <cell r="C19">
            <v>21085</v>
          </cell>
          <cell r="D19">
            <v>15344</v>
          </cell>
          <cell r="E19">
            <v>756</v>
          </cell>
          <cell r="F19">
            <v>4985</v>
          </cell>
          <cell r="G19">
            <v>0</v>
          </cell>
          <cell r="H19">
            <v>12640.55</v>
          </cell>
          <cell r="I19">
            <v>0.59950438700498</v>
          </cell>
        </row>
        <row r="20">
          <cell r="B20" t="str">
            <v>寻甸县</v>
          </cell>
          <cell r="C20">
            <v>28588.57</v>
          </cell>
          <cell r="D20">
            <v>19058</v>
          </cell>
          <cell r="E20">
            <v>2662</v>
          </cell>
          <cell r="F20">
            <v>5379</v>
          </cell>
          <cell r="G20">
            <v>1489.57</v>
          </cell>
          <cell r="H20">
            <v>23319.7209</v>
          </cell>
          <cell r="I20">
            <v>0.815700851773978</v>
          </cell>
        </row>
        <row r="21">
          <cell r="B21" t="str">
            <v>安宁市</v>
          </cell>
          <cell r="C21">
            <v>180</v>
          </cell>
          <cell r="D21">
            <v>100</v>
          </cell>
          <cell r="E21">
            <v>80</v>
          </cell>
          <cell r="F21">
            <v>0</v>
          </cell>
          <cell r="G21">
            <v>0</v>
          </cell>
          <cell r="H21">
            <v>180</v>
          </cell>
          <cell r="I21">
            <v>1</v>
          </cell>
        </row>
        <row r="22">
          <cell r="B22" t="str">
            <v>高新技术产业开发区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B23" t="str">
            <v>经济技术开发区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B24" t="str">
            <v>滇池旅游度假区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 t="str">
            <v>阳宗海风景名胜区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C26">
            <v>449022.3116</v>
          </cell>
          <cell r="D26">
            <v>364256</v>
          </cell>
          <cell r="E26">
            <v>82287.33</v>
          </cell>
          <cell r="F26">
            <v>0</v>
          </cell>
          <cell r="G26">
            <v>2478.9816</v>
          </cell>
          <cell r="H26">
            <v>385714.9172</v>
          </cell>
          <cell r="I26">
            <v>0.859010581958796</v>
          </cell>
        </row>
        <row r="27">
          <cell r="B27" t="str">
            <v>昭阳区</v>
          </cell>
          <cell r="C27">
            <v>49928.0428</v>
          </cell>
          <cell r="D27">
            <v>42607.82</v>
          </cell>
          <cell r="E27">
            <v>5159</v>
          </cell>
          <cell r="F27">
            <v>0</v>
          </cell>
          <cell r="G27">
            <v>2161.2228</v>
          </cell>
          <cell r="H27">
            <v>46542.4044</v>
          </cell>
          <cell r="I27">
            <v>0.932189643131775</v>
          </cell>
        </row>
        <row r="28">
          <cell r="B28" t="str">
            <v>鲁甸县</v>
          </cell>
          <cell r="C28">
            <v>32732.93</v>
          </cell>
          <cell r="D28">
            <v>28304.93</v>
          </cell>
          <cell r="E28">
            <v>4428</v>
          </cell>
          <cell r="F28">
            <v>0</v>
          </cell>
          <cell r="G28">
            <v>0</v>
          </cell>
          <cell r="H28">
            <v>26553.1036</v>
          </cell>
          <cell r="I28">
            <v>0.811204606492605</v>
          </cell>
        </row>
        <row r="29">
          <cell r="B29" t="str">
            <v>巧家县</v>
          </cell>
          <cell r="C29">
            <v>34812.0888</v>
          </cell>
          <cell r="D29">
            <v>28846.33</v>
          </cell>
          <cell r="E29">
            <v>5844</v>
          </cell>
          <cell r="F29">
            <v>0</v>
          </cell>
          <cell r="G29">
            <v>121.7588</v>
          </cell>
          <cell r="H29">
            <v>28743.1087</v>
          </cell>
          <cell r="I29">
            <v>0.825664580632691</v>
          </cell>
        </row>
        <row r="30">
          <cell r="B30" t="str">
            <v>盐津县</v>
          </cell>
          <cell r="C30">
            <v>28584.7</v>
          </cell>
          <cell r="D30">
            <v>24821.7</v>
          </cell>
          <cell r="E30">
            <v>3763</v>
          </cell>
          <cell r="F30">
            <v>0</v>
          </cell>
          <cell r="G30">
            <v>0</v>
          </cell>
          <cell r="H30">
            <v>23590.141</v>
          </cell>
          <cell r="I30">
            <v>0.825271596343498</v>
          </cell>
        </row>
        <row r="31">
          <cell r="B31" t="str">
            <v>大关县</v>
          </cell>
          <cell r="C31">
            <v>30251.24</v>
          </cell>
          <cell r="D31">
            <v>24719.24</v>
          </cell>
          <cell r="E31">
            <v>5464</v>
          </cell>
          <cell r="F31">
            <v>0</v>
          </cell>
          <cell r="G31">
            <v>68</v>
          </cell>
          <cell r="H31">
            <v>24552.38</v>
          </cell>
          <cell r="I31">
            <v>0.811615656085503</v>
          </cell>
        </row>
        <row r="32">
          <cell r="B32" t="str">
            <v>永善县</v>
          </cell>
          <cell r="C32">
            <v>39233.3</v>
          </cell>
          <cell r="D32">
            <v>33651.3</v>
          </cell>
          <cell r="E32">
            <v>5582</v>
          </cell>
          <cell r="F32">
            <v>0</v>
          </cell>
          <cell r="G32">
            <v>0</v>
          </cell>
          <cell r="H32">
            <v>33521.4118</v>
          </cell>
          <cell r="I32">
            <v>0.854412241641667</v>
          </cell>
        </row>
        <row r="33">
          <cell r="B33" t="str">
            <v>绥江县</v>
          </cell>
          <cell r="C33">
            <v>19025.5</v>
          </cell>
          <cell r="D33">
            <v>13596.5</v>
          </cell>
          <cell r="E33">
            <v>5429</v>
          </cell>
          <cell r="F33">
            <v>0</v>
          </cell>
          <cell r="G33">
            <v>0</v>
          </cell>
          <cell r="H33">
            <v>15526.0507</v>
          </cell>
          <cell r="I33">
            <v>0.816065317600063</v>
          </cell>
        </row>
        <row r="34">
          <cell r="B34" t="str">
            <v>镇雄县</v>
          </cell>
          <cell r="C34">
            <v>138357.33</v>
          </cell>
          <cell r="D34">
            <v>103172</v>
          </cell>
          <cell r="E34">
            <v>35185.33</v>
          </cell>
          <cell r="F34">
            <v>0</v>
          </cell>
          <cell r="G34">
            <v>0</v>
          </cell>
          <cell r="H34">
            <v>121712.4378</v>
          </cell>
          <cell r="I34">
            <v>0.879696347132458</v>
          </cell>
        </row>
        <row r="35">
          <cell r="B35" t="str">
            <v>彝良县</v>
          </cell>
          <cell r="C35">
            <v>51517.8</v>
          </cell>
          <cell r="D35">
            <v>45504.8</v>
          </cell>
          <cell r="E35">
            <v>6013</v>
          </cell>
          <cell r="F35">
            <v>0</v>
          </cell>
          <cell r="G35">
            <v>0</v>
          </cell>
          <cell r="H35">
            <v>44394.3335</v>
          </cell>
          <cell r="I35">
            <v>0.861728053216558</v>
          </cell>
        </row>
        <row r="36">
          <cell r="B36" t="str">
            <v>威信县</v>
          </cell>
          <cell r="C36">
            <v>17446.38</v>
          </cell>
          <cell r="D36">
            <v>15516.38</v>
          </cell>
          <cell r="E36">
            <v>1930</v>
          </cell>
          <cell r="F36">
            <v>0</v>
          </cell>
          <cell r="G36">
            <v>0</v>
          </cell>
          <cell r="H36">
            <v>13888.78</v>
          </cell>
          <cell r="I36">
            <v>0.796083772106305</v>
          </cell>
        </row>
        <row r="37">
          <cell r="B37" t="str">
            <v>水富市</v>
          </cell>
          <cell r="C37">
            <v>7133</v>
          </cell>
          <cell r="D37">
            <v>3515</v>
          </cell>
          <cell r="E37">
            <v>3490</v>
          </cell>
          <cell r="F37">
            <v>0</v>
          </cell>
          <cell r="G37">
            <v>128</v>
          </cell>
          <cell r="H37">
            <v>6690.7657</v>
          </cell>
          <cell r="I37">
            <v>0.938001640263564</v>
          </cell>
        </row>
        <row r="38">
          <cell r="C38">
            <v>210838.065</v>
          </cell>
          <cell r="D38">
            <v>163690</v>
          </cell>
          <cell r="E38">
            <v>38925</v>
          </cell>
          <cell r="F38">
            <v>1293.62</v>
          </cell>
          <cell r="G38">
            <v>6929.445</v>
          </cell>
          <cell r="H38">
            <v>166665.95</v>
          </cell>
          <cell r="I38">
            <v>0.790492694001911</v>
          </cell>
        </row>
        <row r="39">
          <cell r="B39" t="str">
            <v>麒麟区</v>
          </cell>
          <cell r="C39">
            <v>5738.525</v>
          </cell>
          <cell r="D39">
            <v>3786</v>
          </cell>
          <cell r="E39">
            <v>1040</v>
          </cell>
          <cell r="F39">
            <v>17.33</v>
          </cell>
          <cell r="G39">
            <v>895.195</v>
          </cell>
          <cell r="H39">
            <v>5494.075</v>
          </cell>
          <cell r="I39">
            <v>0.957401945621915</v>
          </cell>
        </row>
        <row r="40">
          <cell r="B40" t="str">
            <v>马龙区</v>
          </cell>
          <cell r="C40">
            <v>6229.11</v>
          </cell>
          <cell r="D40">
            <v>3594</v>
          </cell>
          <cell r="E40">
            <v>2613</v>
          </cell>
          <cell r="F40">
            <v>22.11</v>
          </cell>
          <cell r="G40">
            <v>0</v>
          </cell>
          <cell r="H40">
            <v>5309.11</v>
          </cell>
          <cell r="I40">
            <v>0.852306348740029</v>
          </cell>
        </row>
        <row r="41">
          <cell r="B41" t="str">
            <v>陆良县</v>
          </cell>
          <cell r="C41">
            <v>7318.86</v>
          </cell>
          <cell r="D41">
            <v>4873</v>
          </cell>
          <cell r="E41">
            <v>1612</v>
          </cell>
          <cell r="F41">
            <v>72.61</v>
          </cell>
          <cell r="G41">
            <v>761.25</v>
          </cell>
          <cell r="H41">
            <v>6403.125</v>
          </cell>
          <cell r="I41">
            <v>0.874880104278535</v>
          </cell>
        </row>
        <row r="42">
          <cell r="B42" t="str">
            <v>师宗县</v>
          </cell>
          <cell r="C42">
            <v>11342.44</v>
          </cell>
          <cell r="D42">
            <v>8227</v>
          </cell>
          <cell r="E42">
            <v>2970</v>
          </cell>
          <cell r="F42">
            <v>145.44</v>
          </cell>
          <cell r="G42">
            <v>0</v>
          </cell>
          <cell r="H42">
            <v>9852.31</v>
          </cell>
          <cell r="I42">
            <v>0.868623506053371</v>
          </cell>
        </row>
        <row r="43">
          <cell r="B43" t="str">
            <v>罗平县</v>
          </cell>
          <cell r="C43">
            <v>6775.69</v>
          </cell>
          <cell r="D43">
            <v>5943</v>
          </cell>
          <cell r="E43">
            <v>761</v>
          </cell>
          <cell r="F43">
            <v>71.69</v>
          </cell>
          <cell r="G43">
            <v>0</v>
          </cell>
          <cell r="H43">
            <v>5607.92</v>
          </cell>
          <cell r="I43">
            <v>0.827652977039977</v>
          </cell>
        </row>
        <row r="44">
          <cell r="B44" t="str">
            <v>富源县</v>
          </cell>
          <cell r="C44">
            <v>16748.56</v>
          </cell>
          <cell r="D44">
            <v>14834</v>
          </cell>
          <cell r="E44">
            <v>1766</v>
          </cell>
          <cell r="F44">
            <v>148.56</v>
          </cell>
          <cell r="G44">
            <v>0</v>
          </cell>
          <cell r="H44">
            <v>15507.639</v>
          </cell>
          <cell r="I44">
            <v>0.925908794547113</v>
          </cell>
        </row>
        <row r="45">
          <cell r="B45" t="str">
            <v>会泽县</v>
          </cell>
          <cell r="C45">
            <v>105064.49</v>
          </cell>
          <cell r="D45">
            <v>83267</v>
          </cell>
          <cell r="E45">
            <v>21221</v>
          </cell>
          <cell r="F45">
            <v>576.49</v>
          </cell>
          <cell r="G45">
            <v>0</v>
          </cell>
          <cell r="H45">
            <v>77484.06</v>
          </cell>
          <cell r="I45">
            <v>0.737490468949119</v>
          </cell>
        </row>
        <row r="46">
          <cell r="B46" t="str">
            <v>沾益区</v>
          </cell>
          <cell r="C46">
            <v>5813.44</v>
          </cell>
          <cell r="D46">
            <v>3883</v>
          </cell>
          <cell r="E46">
            <v>1210</v>
          </cell>
          <cell r="F46">
            <v>20.44</v>
          </cell>
          <cell r="G46">
            <v>700</v>
          </cell>
          <cell r="H46">
            <v>5327.63</v>
          </cell>
          <cell r="I46">
            <v>0.916433299389002</v>
          </cell>
        </row>
        <row r="47">
          <cell r="B47" t="str">
            <v>宣威市</v>
          </cell>
          <cell r="C47">
            <v>45806.79</v>
          </cell>
          <cell r="D47">
            <v>35283</v>
          </cell>
          <cell r="E47">
            <v>5732</v>
          </cell>
          <cell r="F47">
            <v>218.79</v>
          </cell>
          <cell r="G47">
            <v>4573</v>
          </cell>
          <cell r="H47">
            <v>35680.081</v>
          </cell>
          <cell r="I47">
            <v>0.778925591598975</v>
          </cell>
        </row>
        <row r="48">
          <cell r="B48" t="str">
            <v>经开区</v>
          </cell>
          <cell r="C48">
            <v>0.16</v>
          </cell>
          <cell r="D48">
            <v>0</v>
          </cell>
          <cell r="E48">
            <v>0</v>
          </cell>
          <cell r="F48">
            <v>0.16</v>
          </cell>
          <cell r="G48">
            <v>0</v>
          </cell>
          <cell r="H48">
            <v>0</v>
          </cell>
          <cell r="I48">
            <v>0</v>
          </cell>
        </row>
        <row r="49">
          <cell r="C49">
            <v>37102.9726</v>
          </cell>
          <cell r="D49">
            <v>17405</v>
          </cell>
          <cell r="E49">
            <v>15347</v>
          </cell>
          <cell r="F49">
            <v>461.44</v>
          </cell>
          <cell r="G49">
            <v>3889.5326</v>
          </cell>
          <cell r="H49">
            <v>33758.9763</v>
          </cell>
          <cell r="I49">
            <v>0.909872550211785</v>
          </cell>
        </row>
        <row r="50">
          <cell r="B50" t="str">
            <v>红塔区</v>
          </cell>
          <cell r="C50">
            <v>3808.5826</v>
          </cell>
          <cell r="D50">
            <v>2135</v>
          </cell>
          <cell r="E50">
            <v>1038</v>
          </cell>
          <cell r="F50">
            <v>33.88</v>
          </cell>
          <cell r="G50">
            <v>601.7026</v>
          </cell>
          <cell r="H50">
            <v>3522.8271</v>
          </cell>
          <cell r="I50">
            <v>0.92497064393457</v>
          </cell>
        </row>
        <row r="51">
          <cell r="B51" t="str">
            <v>江川区</v>
          </cell>
          <cell r="C51">
            <v>4054.92</v>
          </cell>
          <cell r="D51">
            <v>2428</v>
          </cell>
          <cell r="E51">
            <v>1093</v>
          </cell>
          <cell r="F51">
            <v>33.92</v>
          </cell>
          <cell r="G51">
            <v>500</v>
          </cell>
          <cell r="H51">
            <v>3740.8633</v>
          </cell>
          <cell r="I51">
            <v>0.922549224152388</v>
          </cell>
        </row>
        <row r="52">
          <cell r="B52" t="str">
            <v>澄江市</v>
          </cell>
          <cell r="C52">
            <v>4565.84</v>
          </cell>
          <cell r="D52">
            <v>2763</v>
          </cell>
          <cell r="E52">
            <v>1273</v>
          </cell>
          <cell r="F52">
            <v>29.84</v>
          </cell>
          <cell r="G52">
            <v>500</v>
          </cell>
          <cell r="H52">
            <v>4238.948</v>
          </cell>
          <cell r="I52">
            <v>0.928404849929038</v>
          </cell>
        </row>
        <row r="53">
          <cell r="B53" t="str">
            <v>通海县</v>
          </cell>
          <cell r="C53">
            <v>3167.04</v>
          </cell>
          <cell r="D53">
            <v>1767</v>
          </cell>
          <cell r="E53">
            <v>881</v>
          </cell>
          <cell r="F53">
            <v>19.04</v>
          </cell>
          <cell r="G53">
            <v>500</v>
          </cell>
          <cell r="H53">
            <v>2712.2566</v>
          </cell>
          <cell r="I53">
            <v>0.856401119025967</v>
          </cell>
        </row>
        <row r="54">
          <cell r="B54" t="str">
            <v>华宁县</v>
          </cell>
          <cell r="C54">
            <v>3005.17</v>
          </cell>
          <cell r="D54">
            <v>1495</v>
          </cell>
          <cell r="E54">
            <v>1337</v>
          </cell>
          <cell r="F54">
            <v>43.28</v>
          </cell>
          <cell r="G54">
            <v>129.89</v>
          </cell>
          <cell r="H54">
            <v>2778.396</v>
          </cell>
          <cell r="I54">
            <v>0.924538711620308</v>
          </cell>
        </row>
        <row r="55">
          <cell r="B55" t="str">
            <v>易门县</v>
          </cell>
          <cell r="C55">
            <v>4791.82</v>
          </cell>
          <cell r="D55">
            <v>1790</v>
          </cell>
          <cell r="E55">
            <v>2393</v>
          </cell>
          <cell r="F55">
            <v>50.88</v>
          </cell>
          <cell r="G55">
            <v>557.94</v>
          </cell>
          <cell r="H55">
            <v>4448.0622</v>
          </cell>
          <cell r="I55">
            <v>0.928261537369935</v>
          </cell>
        </row>
        <row r="56">
          <cell r="B56" t="str">
            <v>峨山县</v>
          </cell>
          <cell r="C56">
            <v>4832.4</v>
          </cell>
          <cell r="D56">
            <v>1703</v>
          </cell>
          <cell r="E56">
            <v>2452</v>
          </cell>
          <cell r="F56">
            <v>77.4</v>
          </cell>
          <cell r="G56">
            <v>600</v>
          </cell>
          <cell r="H56">
            <v>4343.71</v>
          </cell>
          <cell r="I56">
            <v>0.898872196010264</v>
          </cell>
        </row>
        <row r="57">
          <cell r="B57" t="str">
            <v>新平县</v>
          </cell>
          <cell r="C57">
            <v>4088.32</v>
          </cell>
          <cell r="D57">
            <v>1539</v>
          </cell>
          <cell r="E57">
            <v>1959</v>
          </cell>
          <cell r="F57">
            <v>90.32</v>
          </cell>
          <cell r="G57">
            <v>500</v>
          </cell>
          <cell r="H57">
            <v>3690.3331</v>
          </cell>
          <cell r="I57">
            <v>0.902652703310895</v>
          </cell>
        </row>
        <row r="58">
          <cell r="B58" t="str">
            <v>元江县</v>
          </cell>
          <cell r="C58">
            <v>4788.88</v>
          </cell>
          <cell r="D58">
            <v>1785</v>
          </cell>
          <cell r="E58">
            <v>2921</v>
          </cell>
          <cell r="F58">
            <v>82.88</v>
          </cell>
          <cell r="G58">
            <v>0</v>
          </cell>
          <cell r="H58">
            <v>4283.58</v>
          </cell>
          <cell r="I58">
            <v>0.894484722941481</v>
          </cell>
        </row>
        <row r="59">
          <cell r="C59">
            <v>234390.7267</v>
          </cell>
          <cell r="D59">
            <v>159135</v>
          </cell>
          <cell r="E59">
            <v>50094</v>
          </cell>
          <cell r="F59">
            <v>22649</v>
          </cell>
          <cell r="G59">
            <v>2512.7267</v>
          </cell>
          <cell r="H59">
            <v>184022.2248</v>
          </cell>
          <cell r="I59">
            <v>0.78510881121817</v>
          </cell>
        </row>
        <row r="60">
          <cell r="B60" t="str">
            <v>个旧市</v>
          </cell>
          <cell r="C60">
            <v>6010.82</v>
          </cell>
          <cell r="D60">
            <v>3603.62</v>
          </cell>
          <cell r="E60">
            <v>1582</v>
          </cell>
          <cell r="F60">
            <v>680</v>
          </cell>
          <cell r="G60">
            <v>145.2</v>
          </cell>
          <cell r="H60">
            <v>4953.1581</v>
          </cell>
          <cell r="I60">
            <v>0.824040330603811</v>
          </cell>
        </row>
        <row r="61">
          <cell r="B61" t="str">
            <v>开远市</v>
          </cell>
          <cell r="C61">
            <v>10234.9987</v>
          </cell>
          <cell r="D61">
            <v>4211</v>
          </cell>
          <cell r="E61">
            <v>3190</v>
          </cell>
          <cell r="F61">
            <v>750</v>
          </cell>
          <cell r="G61">
            <v>2083.9987</v>
          </cell>
          <cell r="H61">
            <v>8976.9142</v>
          </cell>
          <cell r="I61">
            <v>0.877080150484045</v>
          </cell>
        </row>
        <row r="62">
          <cell r="B62" t="str">
            <v>蒙自市</v>
          </cell>
          <cell r="C62">
            <v>13798.08</v>
          </cell>
          <cell r="D62">
            <v>7503.08</v>
          </cell>
          <cell r="E62">
            <v>4445</v>
          </cell>
          <cell r="F62">
            <v>1850</v>
          </cell>
          <cell r="G62">
            <v>0</v>
          </cell>
          <cell r="H62">
            <v>13722.0016</v>
          </cell>
          <cell r="I62">
            <v>0.994486305341033</v>
          </cell>
        </row>
        <row r="63">
          <cell r="B63" t="str">
            <v>屏边县</v>
          </cell>
          <cell r="C63">
            <v>27058.17</v>
          </cell>
          <cell r="D63">
            <v>18001.17</v>
          </cell>
          <cell r="E63">
            <v>7207</v>
          </cell>
          <cell r="F63">
            <v>1850</v>
          </cell>
          <cell r="G63">
            <v>0</v>
          </cell>
          <cell r="H63">
            <v>21550.839</v>
          </cell>
          <cell r="I63">
            <v>0.796463286319807</v>
          </cell>
        </row>
        <row r="64">
          <cell r="B64" t="str">
            <v>建水县</v>
          </cell>
          <cell r="C64">
            <v>10865.908</v>
          </cell>
          <cell r="D64">
            <v>6083</v>
          </cell>
          <cell r="E64">
            <v>2840</v>
          </cell>
          <cell r="F64">
            <v>1820</v>
          </cell>
          <cell r="G64">
            <v>122.908</v>
          </cell>
          <cell r="H64">
            <v>8938.3851</v>
          </cell>
          <cell r="I64">
            <v>0.822608207247843</v>
          </cell>
        </row>
        <row r="65">
          <cell r="B65" t="str">
            <v>石屏县</v>
          </cell>
          <cell r="C65">
            <v>8276.06</v>
          </cell>
          <cell r="D65">
            <v>5775</v>
          </cell>
          <cell r="E65">
            <v>1458</v>
          </cell>
          <cell r="F65">
            <v>1000</v>
          </cell>
          <cell r="G65">
            <v>43.06</v>
          </cell>
          <cell r="H65">
            <v>5811.5503</v>
          </cell>
          <cell r="I65">
            <v>0.702212200008216</v>
          </cell>
        </row>
        <row r="66">
          <cell r="B66" t="str">
            <v>弥勒市</v>
          </cell>
          <cell r="C66">
            <v>10846</v>
          </cell>
          <cell r="D66">
            <v>6763</v>
          </cell>
          <cell r="E66">
            <v>2373</v>
          </cell>
          <cell r="F66">
            <v>1710</v>
          </cell>
          <cell r="G66">
            <v>0</v>
          </cell>
          <cell r="H66">
            <v>9627.475</v>
          </cell>
          <cell r="I66">
            <v>0.887652129817444</v>
          </cell>
        </row>
        <row r="67">
          <cell r="B67" t="str">
            <v>泸西县</v>
          </cell>
          <cell r="C67">
            <v>9107</v>
          </cell>
          <cell r="D67">
            <v>6421</v>
          </cell>
          <cell r="E67">
            <v>1476</v>
          </cell>
          <cell r="F67">
            <v>1210</v>
          </cell>
          <cell r="G67">
            <v>0</v>
          </cell>
          <cell r="H67">
            <v>7383.97</v>
          </cell>
          <cell r="I67">
            <v>0.810801581201274</v>
          </cell>
        </row>
        <row r="68">
          <cell r="B68" t="str">
            <v>元阳县</v>
          </cell>
          <cell r="C68">
            <v>36228.14</v>
          </cell>
          <cell r="D68">
            <v>27628.58</v>
          </cell>
          <cell r="E68">
            <v>5332</v>
          </cell>
          <cell r="F68">
            <v>3150</v>
          </cell>
          <cell r="G68">
            <v>117.56</v>
          </cell>
          <cell r="H68">
            <v>26075.4306</v>
          </cell>
          <cell r="I68">
            <v>0.719756261293017</v>
          </cell>
        </row>
        <row r="69">
          <cell r="B69" t="str">
            <v>红河县</v>
          </cell>
          <cell r="C69">
            <v>31350.12</v>
          </cell>
          <cell r="D69">
            <v>23760.12</v>
          </cell>
          <cell r="E69">
            <v>5006</v>
          </cell>
          <cell r="F69">
            <v>2584</v>
          </cell>
          <cell r="G69">
            <v>0</v>
          </cell>
          <cell r="H69">
            <v>23260.472</v>
          </cell>
          <cell r="I69">
            <v>0.741957989315511</v>
          </cell>
        </row>
        <row r="70">
          <cell r="B70" t="str">
            <v>金平县</v>
          </cell>
          <cell r="C70">
            <v>30505.74</v>
          </cell>
          <cell r="D70">
            <v>23593.74</v>
          </cell>
          <cell r="E70">
            <v>4262</v>
          </cell>
          <cell r="F70">
            <v>2650</v>
          </cell>
          <cell r="G70">
            <v>0</v>
          </cell>
          <cell r="H70">
            <v>24165.0653</v>
          </cell>
          <cell r="I70">
            <v>0.792148143267464</v>
          </cell>
        </row>
        <row r="71">
          <cell r="B71" t="str">
            <v>绿春县</v>
          </cell>
          <cell r="C71">
            <v>30478.76</v>
          </cell>
          <cell r="D71">
            <v>21717.76</v>
          </cell>
          <cell r="E71">
            <v>6116</v>
          </cell>
          <cell r="F71">
            <v>2645</v>
          </cell>
          <cell r="G71">
            <v>0</v>
          </cell>
          <cell r="H71">
            <v>20884.1793</v>
          </cell>
          <cell r="I71">
            <v>0.68520436198848</v>
          </cell>
        </row>
        <row r="72">
          <cell r="B72" t="str">
            <v>河口县</v>
          </cell>
          <cell r="C72">
            <v>9630.93</v>
          </cell>
          <cell r="D72">
            <v>4073.93</v>
          </cell>
          <cell r="E72">
            <v>4807</v>
          </cell>
          <cell r="F72">
            <v>750</v>
          </cell>
          <cell r="G72">
            <v>0</v>
          </cell>
          <cell r="H72">
            <v>8672.7843</v>
          </cell>
          <cell r="I72">
            <v>0.90051368870919</v>
          </cell>
        </row>
        <row r="73">
          <cell r="C73">
            <v>163492.06</v>
          </cell>
          <cell r="D73">
            <v>120324</v>
          </cell>
          <cell r="E73">
            <v>29360</v>
          </cell>
          <cell r="F73">
            <v>4800</v>
          </cell>
          <cell r="G73">
            <v>9008.06</v>
          </cell>
          <cell r="H73">
            <v>111390.4868</v>
          </cell>
          <cell r="I73">
            <v>0.681320467795194</v>
          </cell>
        </row>
        <row r="74">
          <cell r="B74" t="str">
            <v>文山市</v>
          </cell>
          <cell r="C74">
            <v>9206.63</v>
          </cell>
          <cell r="D74">
            <v>7093.63</v>
          </cell>
          <cell r="E74">
            <v>1563</v>
          </cell>
          <cell r="F74">
            <v>550</v>
          </cell>
          <cell r="G74">
            <v>0</v>
          </cell>
          <cell r="H74">
            <v>7533.21</v>
          </cell>
          <cell r="I74">
            <v>0.818237509273209</v>
          </cell>
        </row>
        <row r="75">
          <cell r="B75" t="str">
            <v>砚山县</v>
          </cell>
          <cell r="C75">
            <v>10022.72</v>
          </cell>
          <cell r="D75">
            <v>7977.88</v>
          </cell>
          <cell r="E75">
            <v>1139</v>
          </cell>
          <cell r="F75">
            <v>550</v>
          </cell>
          <cell r="G75">
            <v>355.84</v>
          </cell>
          <cell r="H75">
            <v>8668.96</v>
          </cell>
          <cell r="I75">
            <v>0.864930877047348</v>
          </cell>
        </row>
        <row r="76">
          <cell r="B76" t="str">
            <v>西畴县</v>
          </cell>
          <cell r="C76">
            <v>11507.04</v>
          </cell>
          <cell r="D76">
            <v>9579.83</v>
          </cell>
          <cell r="E76">
            <v>1273</v>
          </cell>
          <cell r="F76">
            <v>500</v>
          </cell>
          <cell r="G76">
            <v>154.21</v>
          </cell>
          <cell r="H76">
            <v>8364.5984</v>
          </cell>
          <cell r="I76">
            <v>0.726911386420835</v>
          </cell>
        </row>
        <row r="77">
          <cell r="B77" t="str">
            <v>麻栗坡县</v>
          </cell>
          <cell r="C77">
            <v>17237.39</v>
          </cell>
          <cell r="D77">
            <v>13177.39</v>
          </cell>
          <cell r="E77">
            <v>3460</v>
          </cell>
          <cell r="F77">
            <v>600</v>
          </cell>
          <cell r="G77">
            <v>0</v>
          </cell>
          <cell r="H77">
            <v>12014.1096</v>
          </cell>
          <cell r="I77">
            <v>0.696979623945388</v>
          </cell>
        </row>
        <row r="78">
          <cell r="B78" t="str">
            <v>马关县</v>
          </cell>
          <cell r="C78">
            <v>24448.89</v>
          </cell>
          <cell r="D78">
            <v>18099.89</v>
          </cell>
          <cell r="E78">
            <v>3702</v>
          </cell>
          <cell r="F78">
            <v>650</v>
          </cell>
          <cell r="G78">
            <v>1997</v>
          </cell>
          <cell r="H78">
            <v>15090.4694</v>
          </cell>
          <cell r="I78">
            <v>0.617225133738178</v>
          </cell>
        </row>
        <row r="79">
          <cell r="B79" t="str">
            <v>丘北县</v>
          </cell>
          <cell r="C79">
            <v>16585.3</v>
          </cell>
          <cell r="D79">
            <v>14471.3</v>
          </cell>
          <cell r="E79">
            <v>1464</v>
          </cell>
          <cell r="F79">
            <v>650</v>
          </cell>
          <cell r="G79">
            <v>0</v>
          </cell>
          <cell r="H79">
            <v>12284.81</v>
          </cell>
          <cell r="I79">
            <v>0.740704720445214</v>
          </cell>
        </row>
        <row r="80">
          <cell r="B80" t="str">
            <v>广南县</v>
          </cell>
          <cell r="C80">
            <v>57791.82</v>
          </cell>
          <cell r="D80">
            <v>37998.82</v>
          </cell>
          <cell r="E80">
            <v>13543</v>
          </cell>
          <cell r="F80">
            <v>750</v>
          </cell>
          <cell r="G80">
            <v>5500</v>
          </cell>
          <cell r="H80">
            <v>37804.2253</v>
          </cell>
          <cell r="I80">
            <v>0.654144917048814</v>
          </cell>
        </row>
        <row r="81">
          <cell r="B81" t="str">
            <v>富宁县</v>
          </cell>
          <cell r="C81">
            <v>16692.27</v>
          </cell>
          <cell r="D81">
            <v>11925.26</v>
          </cell>
          <cell r="E81">
            <v>3216</v>
          </cell>
          <cell r="F81">
            <v>550</v>
          </cell>
          <cell r="G81">
            <v>1001.01</v>
          </cell>
          <cell r="H81">
            <v>9630.1041</v>
          </cell>
          <cell r="I81">
            <v>0.576919981524382</v>
          </cell>
        </row>
        <row r="82">
          <cell r="C82">
            <v>163306.492</v>
          </cell>
          <cell r="D82">
            <v>109043</v>
          </cell>
          <cell r="E82">
            <v>35458</v>
          </cell>
          <cell r="F82">
            <v>5275.33</v>
          </cell>
          <cell r="G82">
            <v>13530.162</v>
          </cell>
          <cell r="H82">
            <v>118065.9417</v>
          </cell>
          <cell r="I82">
            <v>0.722971513588082</v>
          </cell>
        </row>
        <row r="83">
          <cell r="B83" t="str">
            <v>思茅区</v>
          </cell>
          <cell r="C83">
            <v>6271.305</v>
          </cell>
          <cell r="D83">
            <v>3225.84</v>
          </cell>
          <cell r="E83">
            <v>2865</v>
          </cell>
          <cell r="F83">
            <v>100</v>
          </cell>
          <cell r="G83">
            <v>80.465</v>
          </cell>
          <cell r="H83">
            <v>4190.8002</v>
          </cell>
          <cell r="I83">
            <v>0.668250101055522</v>
          </cell>
        </row>
        <row r="84">
          <cell r="B84" t="str">
            <v>宁洱县</v>
          </cell>
          <cell r="C84">
            <v>5271.5</v>
          </cell>
          <cell r="D84">
            <v>4173</v>
          </cell>
          <cell r="E84">
            <v>882</v>
          </cell>
          <cell r="F84">
            <v>100</v>
          </cell>
          <cell r="G84">
            <v>116.5</v>
          </cell>
          <cell r="H84">
            <v>4222.653</v>
          </cell>
          <cell r="I84">
            <v>0.801034430427772</v>
          </cell>
        </row>
        <row r="85">
          <cell r="B85" t="str">
            <v>墨江县</v>
          </cell>
          <cell r="C85">
            <v>19801</v>
          </cell>
          <cell r="D85">
            <v>15587</v>
          </cell>
          <cell r="E85">
            <v>3574</v>
          </cell>
          <cell r="F85">
            <v>640</v>
          </cell>
          <cell r="G85">
            <v>0</v>
          </cell>
          <cell r="H85">
            <v>13863.95</v>
          </cell>
          <cell r="I85">
            <v>0.70016413312459</v>
          </cell>
        </row>
        <row r="86">
          <cell r="B86" t="str">
            <v>景东县</v>
          </cell>
          <cell r="C86">
            <v>14333.6</v>
          </cell>
          <cell r="D86">
            <v>12117.6</v>
          </cell>
          <cell r="E86">
            <v>2116</v>
          </cell>
          <cell r="F86">
            <v>100</v>
          </cell>
          <cell r="G86">
            <v>0</v>
          </cell>
          <cell r="H86">
            <v>7917.72</v>
          </cell>
          <cell r="I86">
            <v>0.552388792766646</v>
          </cell>
        </row>
        <row r="87">
          <cell r="B87" t="str">
            <v>景谷县</v>
          </cell>
          <cell r="C87">
            <v>18304.66</v>
          </cell>
          <cell r="D87">
            <v>6511</v>
          </cell>
          <cell r="E87">
            <v>2695</v>
          </cell>
          <cell r="F87">
            <v>0</v>
          </cell>
          <cell r="G87">
            <v>9098.66</v>
          </cell>
          <cell r="H87">
            <v>14413.9741</v>
          </cell>
          <cell r="I87">
            <v>0.787448338291998</v>
          </cell>
        </row>
        <row r="88">
          <cell r="B88" t="str">
            <v>镇沅县</v>
          </cell>
          <cell r="C88">
            <v>8164</v>
          </cell>
          <cell r="D88">
            <v>5589</v>
          </cell>
          <cell r="E88">
            <v>2475</v>
          </cell>
          <cell r="F88">
            <v>100</v>
          </cell>
          <cell r="G88">
            <v>0</v>
          </cell>
          <cell r="H88">
            <v>4724.2329</v>
          </cell>
          <cell r="I88">
            <v>0.578666450269476</v>
          </cell>
        </row>
        <row r="89">
          <cell r="B89" t="str">
            <v>江城县</v>
          </cell>
          <cell r="C89">
            <v>16777.18</v>
          </cell>
          <cell r="D89">
            <v>11043.18</v>
          </cell>
          <cell r="E89">
            <v>5334</v>
          </cell>
          <cell r="F89">
            <v>400</v>
          </cell>
          <cell r="G89">
            <v>0</v>
          </cell>
          <cell r="H89">
            <v>13497.514</v>
          </cell>
          <cell r="I89">
            <v>0.80451625362546</v>
          </cell>
        </row>
        <row r="90">
          <cell r="B90" t="str">
            <v>孟连县</v>
          </cell>
          <cell r="C90">
            <v>17382.037</v>
          </cell>
          <cell r="D90">
            <v>8369</v>
          </cell>
          <cell r="E90">
            <v>3837</v>
          </cell>
          <cell r="F90">
            <v>941.5</v>
          </cell>
          <cell r="G90">
            <v>4234.537</v>
          </cell>
          <cell r="H90">
            <v>12112.917</v>
          </cell>
          <cell r="I90">
            <v>0.696864067197648</v>
          </cell>
        </row>
        <row r="91">
          <cell r="B91" t="str">
            <v>澜沧县</v>
          </cell>
          <cell r="C91">
            <v>41301.38</v>
          </cell>
          <cell r="D91">
            <v>32809.38</v>
          </cell>
          <cell r="E91">
            <v>6592</v>
          </cell>
          <cell r="F91">
            <v>1900</v>
          </cell>
          <cell r="G91">
            <v>0</v>
          </cell>
          <cell r="H91">
            <v>30406.5385</v>
          </cell>
          <cell r="I91">
            <v>0.736211199238379</v>
          </cell>
        </row>
        <row r="92">
          <cell r="B92" t="str">
            <v>西盟县</v>
          </cell>
          <cell r="C92">
            <v>15699.83</v>
          </cell>
          <cell r="D92">
            <v>9618</v>
          </cell>
          <cell r="E92">
            <v>5088</v>
          </cell>
          <cell r="F92">
            <v>993.83</v>
          </cell>
          <cell r="G92">
            <v>0</v>
          </cell>
          <cell r="H92">
            <v>12715.642</v>
          </cell>
          <cell r="I92">
            <v>0.809922273043721</v>
          </cell>
        </row>
        <row r="93">
          <cell r="C93">
            <v>24442.8</v>
          </cell>
          <cell r="D93">
            <v>15860</v>
          </cell>
          <cell r="E93">
            <v>5520</v>
          </cell>
          <cell r="F93">
            <v>1776.53</v>
          </cell>
          <cell r="G93">
            <v>1286.27</v>
          </cell>
          <cell r="H93">
            <v>19729.0764</v>
          </cell>
          <cell r="I93">
            <v>0.807152879375522</v>
          </cell>
        </row>
        <row r="94">
          <cell r="B94" t="str">
            <v>景洪市</v>
          </cell>
          <cell r="C94">
            <v>8245.27</v>
          </cell>
          <cell r="D94">
            <v>4771</v>
          </cell>
          <cell r="E94">
            <v>1688</v>
          </cell>
          <cell r="F94">
            <v>500</v>
          </cell>
          <cell r="G94">
            <v>1286.27</v>
          </cell>
          <cell r="H94">
            <v>7153.7462</v>
          </cell>
          <cell r="I94">
            <v>0.867618185941758</v>
          </cell>
        </row>
        <row r="95">
          <cell r="B95" t="str">
            <v>勐海县</v>
          </cell>
          <cell r="C95">
            <v>7924.265</v>
          </cell>
          <cell r="D95">
            <v>5632</v>
          </cell>
          <cell r="E95">
            <v>1654</v>
          </cell>
          <cell r="F95">
            <v>638.265</v>
          </cell>
          <cell r="G95">
            <v>0</v>
          </cell>
          <cell r="H95">
            <v>6750.2922</v>
          </cell>
          <cell r="I95">
            <v>0.851850890902816</v>
          </cell>
        </row>
        <row r="96">
          <cell r="B96" t="str">
            <v>勐腊县</v>
          </cell>
          <cell r="C96">
            <v>8273.265</v>
          </cell>
          <cell r="D96">
            <v>5457</v>
          </cell>
          <cell r="E96">
            <v>2178</v>
          </cell>
          <cell r="F96">
            <v>638.265</v>
          </cell>
          <cell r="G96">
            <v>0</v>
          </cell>
          <cell r="H96">
            <v>5825.038</v>
          </cell>
          <cell r="I96">
            <v>0.704079707346495</v>
          </cell>
        </row>
        <row r="97">
          <cell r="C97">
            <v>93659.65</v>
          </cell>
          <cell r="D97">
            <v>61476</v>
          </cell>
          <cell r="E97">
            <v>23755</v>
          </cell>
          <cell r="F97">
            <v>8068.65</v>
          </cell>
          <cell r="G97">
            <v>360</v>
          </cell>
          <cell r="H97">
            <v>75415.1446</v>
          </cell>
          <cell r="I97">
            <v>0.805204211205146</v>
          </cell>
        </row>
        <row r="98">
          <cell r="B98" t="str">
            <v>楚雄市</v>
          </cell>
          <cell r="C98">
            <v>5753.5</v>
          </cell>
          <cell r="D98">
            <v>1851</v>
          </cell>
          <cell r="E98">
            <v>2912</v>
          </cell>
          <cell r="F98">
            <v>930.5</v>
          </cell>
          <cell r="G98">
            <v>60</v>
          </cell>
          <cell r="H98">
            <v>3526.519</v>
          </cell>
          <cell r="I98">
            <v>0.612934561571218</v>
          </cell>
        </row>
        <row r="99">
          <cell r="B99" t="str">
            <v>双柏县</v>
          </cell>
          <cell r="C99">
            <v>9170</v>
          </cell>
          <cell r="D99">
            <v>6114</v>
          </cell>
          <cell r="E99">
            <v>2365</v>
          </cell>
          <cell r="F99">
            <v>691</v>
          </cell>
          <cell r="G99">
            <v>0</v>
          </cell>
          <cell r="H99">
            <v>7540.03</v>
          </cell>
          <cell r="I99">
            <v>0.822249727371865</v>
          </cell>
        </row>
        <row r="100">
          <cell r="B100" t="str">
            <v>牟定县</v>
          </cell>
          <cell r="C100">
            <v>5927.05</v>
          </cell>
          <cell r="D100">
            <v>4736</v>
          </cell>
          <cell r="E100">
            <v>738</v>
          </cell>
          <cell r="F100">
            <v>453.05</v>
          </cell>
          <cell r="G100">
            <v>0</v>
          </cell>
          <cell r="H100">
            <v>5238.05</v>
          </cell>
          <cell r="I100">
            <v>0.883753300545803</v>
          </cell>
        </row>
        <row r="101">
          <cell r="B101" t="str">
            <v>南华县</v>
          </cell>
          <cell r="C101">
            <v>7388.9</v>
          </cell>
          <cell r="D101">
            <v>5261</v>
          </cell>
          <cell r="E101">
            <v>1392</v>
          </cell>
          <cell r="F101">
            <v>735.9</v>
          </cell>
          <cell r="G101">
            <v>0</v>
          </cell>
          <cell r="H101">
            <v>5326.06</v>
          </cell>
          <cell r="I101">
            <v>0.720819066437494</v>
          </cell>
        </row>
        <row r="102">
          <cell r="B102" t="str">
            <v>姚安县</v>
          </cell>
          <cell r="C102">
            <v>6537.78</v>
          </cell>
          <cell r="D102">
            <v>4569.78</v>
          </cell>
          <cell r="E102">
            <v>1500</v>
          </cell>
          <cell r="F102">
            <v>468</v>
          </cell>
          <cell r="G102">
            <v>0</v>
          </cell>
          <cell r="H102">
            <v>5817.56</v>
          </cell>
          <cell r="I102">
            <v>0.889837223032895</v>
          </cell>
        </row>
        <row r="103">
          <cell r="B103" t="str">
            <v>大姚县</v>
          </cell>
          <cell r="C103">
            <v>8547</v>
          </cell>
          <cell r="D103">
            <v>6086</v>
          </cell>
          <cell r="E103">
            <v>1660</v>
          </cell>
          <cell r="F103">
            <v>801</v>
          </cell>
          <cell r="G103">
            <v>0</v>
          </cell>
          <cell r="H103">
            <v>6817.52</v>
          </cell>
          <cell r="I103">
            <v>0.797650637650638</v>
          </cell>
        </row>
        <row r="104">
          <cell r="B104" t="str">
            <v>永仁县</v>
          </cell>
          <cell r="C104">
            <v>9771</v>
          </cell>
          <cell r="D104">
            <v>6005</v>
          </cell>
          <cell r="E104">
            <v>3344</v>
          </cell>
          <cell r="F104">
            <v>422</v>
          </cell>
          <cell r="G104">
            <v>0</v>
          </cell>
          <cell r="H104">
            <v>9030.9</v>
          </cell>
          <cell r="I104">
            <v>0.92425544980043</v>
          </cell>
        </row>
        <row r="105">
          <cell r="B105" t="str">
            <v>元谋县</v>
          </cell>
          <cell r="C105">
            <v>7058.36</v>
          </cell>
          <cell r="D105">
            <v>3866.96</v>
          </cell>
          <cell r="E105">
            <v>2446</v>
          </cell>
          <cell r="F105">
            <v>745.4</v>
          </cell>
          <cell r="G105">
            <v>0</v>
          </cell>
          <cell r="H105">
            <v>5933.31</v>
          </cell>
          <cell r="I105">
            <v>0.840607449889209</v>
          </cell>
        </row>
        <row r="106">
          <cell r="B106" t="str">
            <v>武定县</v>
          </cell>
          <cell r="C106">
            <v>26611.33</v>
          </cell>
          <cell r="D106">
            <v>19255.33</v>
          </cell>
          <cell r="E106">
            <v>5812</v>
          </cell>
          <cell r="F106">
            <v>1544</v>
          </cell>
          <cell r="G106">
            <v>0</v>
          </cell>
          <cell r="H106">
            <v>21212.5756</v>
          </cell>
          <cell r="I106">
            <v>0.797125720510775</v>
          </cell>
        </row>
        <row r="107">
          <cell r="B107" t="str">
            <v>禄丰市</v>
          </cell>
          <cell r="C107">
            <v>6894.73</v>
          </cell>
          <cell r="D107">
            <v>3730.93</v>
          </cell>
          <cell r="E107">
            <v>1586</v>
          </cell>
          <cell r="F107">
            <v>1277.8</v>
          </cell>
          <cell r="G107">
            <v>300</v>
          </cell>
          <cell r="H107">
            <v>4972.62</v>
          </cell>
          <cell r="I107">
            <v>0.7212204103714</v>
          </cell>
        </row>
        <row r="108">
          <cell r="C108">
            <v>116657.3</v>
          </cell>
          <cell r="D108">
            <v>92603</v>
          </cell>
          <cell r="E108">
            <v>21040</v>
          </cell>
          <cell r="F108">
            <v>0</v>
          </cell>
          <cell r="G108">
            <v>3014.3</v>
          </cell>
          <cell r="H108">
            <v>86507.1988</v>
          </cell>
          <cell r="I108">
            <v>0.741549811284849</v>
          </cell>
        </row>
        <row r="109">
          <cell r="B109" t="str">
            <v>大理市</v>
          </cell>
          <cell r="C109">
            <v>5596.3</v>
          </cell>
          <cell r="D109">
            <v>2199</v>
          </cell>
          <cell r="E109">
            <v>1383</v>
          </cell>
          <cell r="F109">
            <v>0</v>
          </cell>
          <cell r="G109">
            <v>2014.3</v>
          </cell>
          <cell r="H109">
            <v>3430.1388</v>
          </cell>
          <cell r="I109">
            <v>0.612929757160981</v>
          </cell>
        </row>
        <row r="110">
          <cell r="B110" t="str">
            <v>漾濞县</v>
          </cell>
          <cell r="C110">
            <v>7024</v>
          </cell>
          <cell r="D110">
            <v>5147</v>
          </cell>
          <cell r="E110">
            <v>1877</v>
          </cell>
          <cell r="F110">
            <v>0</v>
          </cell>
          <cell r="G110">
            <v>0</v>
          </cell>
          <cell r="H110">
            <v>5044.76</v>
          </cell>
          <cell r="I110">
            <v>0.718217539863326</v>
          </cell>
        </row>
        <row r="111">
          <cell r="B111" t="str">
            <v>祥云县</v>
          </cell>
          <cell r="C111">
            <v>6975</v>
          </cell>
          <cell r="D111">
            <v>5169</v>
          </cell>
          <cell r="E111">
            <v>806</v>
          </cell>
          <cell r="F111">
            <v>0</v>
          </cell>
          <cell r="G111">
            <v>1000</v>
          </cell>
          <cell r="H111">
            <v>4156.0354</v>
          </cell>
          <cell r="I111">
            <v>0.595847369175627</v>
          </cell>
        </row>
        <row r="112">
          <cell r="B112" t="str">
            <v>宾川县</v>
          </cell>
          <cell r="C112">
            <v>6317</v>
          </cell>
          <cell r="D112">
            <v>5376</v>
          </cell>
          <cell r="E112">
            <v>941</v>
          </cell>
          <cell r="F112">
            <v>0</v>
          </cell>
          <cell r="G112">
            <v>0</v>
          </cell>
          <cell r="H112">
            <v>3598.0149</v>
          </cell>
          <cell r="I112">
            <v>0.569576523666297</v>
          </cell>
        </row>
        <row r="113">
          <cell r="B113" t="str">
            <v>弥渡县</v>
          </cell>
          <cell r="C113">
            <v>15559</v>
          </cell>
          <cell r="D113">
            <v>12833</v>
          </cell>
          <cell r="E113">
            <v>2726</v>
          </cell>
          <cell r="F113">
            <v>0</v>
          </cell>
          <cell r="G113">
            <v>0</v>
          </cell>
          <cell r="H113">
            <v>13611.27</v>
          </cell>
          <cell r="I113">
            <v>0.874816504916768</v>
          </cell>
        </row>
        <row r="114">
          <cell r="B114" t="str">
            <v>南涧县</v>
          </cell>
          <cell r="C114">
            <v>15888</v>
          </cell>
          <cell r="D114">
            <v>12665</v>
          </cell>
          <cell r="E114">
            <v>3223</v>
          </cell>
          <cell r="F114">
            <v>0</v>
          </cell>
          <cell r="G114">
            <v>0</v>
          </cell>
          <cell r="H114">
            <v>10435.3823</v>
          </cell>
          <cell r="I114">
            <v>0.65680905715005</v>
          </cell>
        </row>
        <row r="115">
          <cell r="B115" t="str">
            <v>巍山县</v>
          </cell>
          <cell r="C115">
            <v>9149</v>
          </cell>
          <cell r="D115">
            <v>8107</v>
          </cell>
          <cell r="E115">
            <v>1042</v>
          </cell>
          <cell r="F115">
            <v>0</v>
          </cell>
          <cell r="G115">
            <v>0</v>
          </cell>
          <cell r="H115">
            <v>7986.4525</v>
          </cell>
          <cell r="I115">
            <v>0.872931741173899</v>
          </cell>
        </row>
        <row r="116">
          <cell r="B116" t="str">
            <v>永平县</v>
          </cell>
          <cell r="C116">
            <v>9048</v>
          </cell>
          <cell r="D116">
            <v>7178</v>
          </cell>
          <cell r="E116">
            <v>1870</v>
          </cell>
          <cell r="F116">
            <v>0</v>
          </cell>
          <cell r="G116">
            <v>0</v>
          </cell>
          <cell r="H116">
            <v>7504.5</v>
          </cell>
          <cell r="I116">
            <v>0.829409814323607</v>
          </cell>
        </row>
        <row r="117">
          <cell r="B117" t="str">
            <v>云龙县</v>
          </cell>
          <cell r="C117">
            <v>13793</v>
          </cell>
          <cell r="D117">
            <v>11254</v>
          </cell>
          <cell r="E117">
            <v>2539</v>
          </cell>
          <cell r="F117">
            <v>0</v>
          </cell>
          <cell r="G117">
            <v>0</v>
          </cell>
          <cell r="H117">
            <v>6660.4929</v>
          </cell>
          <cell r="I117">
            <v>0.482889356920177</v>
          </cell>
        </row>
        <row r="118">
          <cell r="B118" t="str">
            <v>洱源县</v>
          </cell>
          <cell r="C118">
            <v>7054</v>
          </cell>
          <cell r="D118">
            <v>6449</v>
          </cell>
          <cell r="E118">
            <v>605</v>
          </cell>
          <cell r="F118">
            <v>0</v>
          </cell>
          <cell r="G118">
            <v>0</v>
          </cell>
          <cell r="H118">
            <v>5740.1432</v>
          </cell>
          <cell r="I118">
            <v>0.813743011057556</v>
          </cell>
        </row>
        <row r="119">
          <cell r="B119" t="str">
            <v>剑川县</v>
          </cell>
          <cell r="C119">
            <v>13428</v>
          </cell>
          <cell r="D119">
            <v>10734</v>
          </cell>
          <cell r="E119">
            <v>2694</v>
          </cell>
          <cell r="F119">
            <v>0</v>
          </cell>
          <cell r="G119">
            <v>0</v>
          </cell>
          <cell r="H119">
            <v>12458.5624</v>
          </cell>
          <cell r="I119">
            <v>0.927804766160262</v>
          </cell>
        </row>
        <row r="120">
          <cell r="B120" t="str">
            <v>鹤庆县</v>
          </cell>
          <cell r="C120">
            <v>6826</v>
          </cell>
          <cell r="D120">
            <v>5492</v>
          </cell>
          <cell r="E120">
            <v>1334</v>
          </cell>
          <cell r="F120">
            <v>0</v>
          </cell>
          <cell r="G120">
            <v>0</v>
          </cell>
          <cell r="H120">
            <v>5881.4464</v>
          </cell>
          <cell r="I120">
            <v>0.861624142982713</v>
          </cell>
        </row>
        <row r="121">
          <cell r="C121">
            <v>71334.46</v>
          </cell>
          <cell r="D121">
            <v>53047</v>
          </cell>
          <cell r="E121">
            <v>13730</v>
          </cell>
          <cell r="F121">
            <v>4557.46</v>
          </cell>
          <cell r="G121">
            <v>0</v>
          </cell>
          <cell r="H121">
            <v>45134.9018</v>
          </cell>
          <cell r="I121">
            <v>0.632722274760333</v>
          </cell>
        </row>
        <row r="122">
          <cell r="B122" t="str">
            <v>隆阳区</v>
          </cell>
          <cell r="C122">
            <v>14862.95</v>
          </cell>
          <cell r="D122">
            <v>10431.95</v>
          </cell>
          <cell r="E122">
            <v>1691</v>
          </cell>
          <cell r="F122">
            <v>2740</v>
          </cell>
          <cell r="G122">
            <v>0</v>
          </cell>
          <cell r="H122">
            <v>8849.55</v>
          </cell>
          <cell r="I122">
            <v>0.595410063278151</v>
          </cell>
        </row>
        <row r="123">
          <cell r="B123" t="str">
            <v>施甸县</v>
          </cell>
          <cell r="C123">
            <v>20762.84</v>
          </cell>
          <cell r="D123">
            <v>16927.81</v>
          </cell>
          <cell r="E123">
            <v>3315</v>
          </cell>
          <cell r="F123">
            <v>520.03</v>
          </cell>
          <cell r="G123">
            <v>0</v>
          </cell>
          <cell r="H123">
            <v>12282.3201</v>
          </cell>
          <cell r="I123">
            <v>0.591552990823991</v>
          </cell>
        </row>
        <row r="124">
          <cell r="B124" t="str">
            <v>腾冲市</v>
          </cell>
          <cell r="C124">
            <v>11970</v>
          </cell>
          <cell r="D124">
            <v>8463</v>
          </cell>
          <cell r="E124">
            <v>3057</v>
          </cell>
          <cell r="F124">
            <v>450</v>
          </cell>
          <cell r="G124">
            <v>0</v>
          </cell>
          <cell r="H124">
            <v>7342.6</v>
          </cell>
          <cell r="I124">
            <v>0.613416875522139</v>
          </cell>
        </row>
        <row r="125">
          <cell r="B125" t="str">
            <v>龙陵县</v>
          </cell>
          <cell r="C125">
            <v>11068.3</v>
          </cell>
          <cell r="D125">
            <v>7770.64</v>
          </cell>
          <cell r="E125">
            <v>2865</v>
          </cell>
          <cell r="F125">
            <v>432.66</v>
          </cell>
          <cell r="G125">
            <v>0</v>
          </cell>
          <cell r="H125">
            <v>6746.5357</v>
          </cell>
          <cell r="I125">
            <v>0.609536758129071</v>
          </cell>
        </row>
        <row r="126">
          <cell r="B126" t="str">
            <v>昌宁县</v>
          </cell>
          <cell r="C126">
            <v>12670.37</v>
          </cell>
          <cell r="D126">
            <v>9453.6</v>
          </cell>
          <cell r="E126">
            <v>2802</v>
          </cell>
          <cell r="F126">
            <v>414.77</v>
          </cell>
          <cell r="G126">
            <v>0</v>
          </cell>
          <cell r="H126">
            <v>9913.896</v>
          </cell>
          <cell r="I126">
            <v>0.782447237136721</v>
          </cell>
        </row>
        <row r="127">
          <cell r="C127">
            <v>60497.6293</v>
          </cell>
          <cell r="D127">
            <v>35960</v>
          </cell>
          <cell r="E127">
            <v>8288</v>
          </cell>
          <cell r="F127">
            <v>500</v>
          </cell>
          <cell r="G127">
            <v>15749.6293</v>
          </cell>
          <cell r="H127">
            <v>34243.9035</v>
          </cell>
          <cell r="I127">
            <v>0.566037114118784</v>
          </cell>
        </row>
        <row r="128">
          <cell r="B128" t="str">
            <v>瑞丽市</v>
          </cell>
          <cell r="C128">
            <v>9764.13</v>
          </cell>
          <cell r="D128">
            <v>1918.36</v>
          </cell>
          <cell r="E128">
            <v>2965</v>
          </cell>
          <cell r="F128">
            <v>85</v>
          </cell>
          <cell r="G128">
            <v>4795.77</v>
          </cell>
          <cell r="H128">
            <v>6895.64</v>
          </cell>
          <cell r="I128">
            <v>0.706221650059964</v>
          </cell>
        </row>
        <row r="129">
          <cell r="B129" t="str">
            <v>芒市</v>
          </cell>
          <cell r="C129">
            <v>7503.5593</v>
          </cell>
          <cell r="D129">
            <v>4979</v>
          </cell>
          <cell r="E129">
            <v>207</v>
          </cell>
          <cell r="F129">
            <v>85</v>
          </cell>
          <cell r="G129">
            <v>2232.5593</v>
          </cell>
          <cell r="H129">
            <v>4290.7535</v>
          </cell>
          <cell r="I129">
            <v>0.571829091828461</v>
          </cell>
        </row>
        <row r="130">
          <cell r="B130" t="str">
            <v>梁河县</v>
          </cell>
          <cell r="C130">
            <v>15646.86</v>
          </cell>
          <cell r="D130">
            <v>11016.64</v>
          </cell>
          <cell r="E130">
            <v>2409</v>
          </cell>
          <cell r="F130">
            <v>110</v>
          </cell>
          <cell r="G130">
            <v>2111.22</v>
          </cell>
          <cell r="H130">
            <v>5991.25</v>
          </cell>
          <cell r="I130">
            <v>0.382904301565937</v>
          </cell>
        </row>
        <row r="131">
          <cell r="B131" t="str">
            <v>盈江县</v>
          </cell>
          <cell r="C131">
            <v>12427.56</v>
          </cell>
          <cell r="D131">
            <v>9068</v>
          </cell>
          <cell r="E131">
            <v>1323</v>
          </cell>
          <cell r="F131">
            <v>110</v>
          </cell>
          <cell r="G131">
            <v>1926.56</v>
          </cell>
          <cell r="H131">
            <v>8399.08</v>
          </cell>
          <cell r="I131">
            <v>0.675843045617965</v>
          </cell>
        </row>
        <row r="132">
          <cell r="B132" t="str">
            <v>陇川县</v>
          </cell>
          <cell r="C132">
            <v>15155.52</v>
          </cell>
          <cell r="D132">
            <v>8978</v>
          </cell>
          <cell r="E132">
            <v>1384</v>
          </cell>
          <cell r="F132">
            <v>110</v>
          </cell>
          <cell r="G132">
            <v>4683.52</v>
          </cell>
          <cell r="H132">
            <v>8667.18</v>
          </cell>
          <cell r="I132">
            <v>0.57188271995946</v>
          </cell>
        </row>
        <row r="133">
          <cell r="C133">
            <v>61360.454</v>
          </cell>
          <cell r="D133">
            <v>45575</v>
          </cell>
          <cell r="E133">
            <v>8171</v>
          </cell>
          <cell r="F133">
            <v>6500</v>
          </cell>
          <cell r="G133">
            <v>1114.454</v>
          </cell>
          <cell r="H133">
            <v>41113.6951</v>
          </cell>
          <cell r="I133">
            <v>0.670035705733207</v>
          </cell>
        </row>
        <row r="134">
          <cell r="B134" t="str">
            <v>古城区</v>
          </cell>
          <cell r="C134">
            <v>4306.15</v>
          </cell>
          <cell r="D134">
            <v>3044</v>
          </cell>
          <cell r="E134">
            <v>565</v>
          </cell>
          <cell r="F134">
            <v>300</v>
          </cell>
          <cell r="G134">
            <v>397.15</v>
          </cell>
          <cell r="H134">
            <v>3850.46</v>
          </cell>
          <cell r="I134">
            <v>0.894176932991187</v>
          </cell>
        </row>
        <row r="135">
          <cell r="B135" t="str">
            <v>玉龙县</v>
          </cell>
          <cell r="C135">
            <v>6084</v>
          </cell>
          <cell r="D135">
            <v>4587</v>
          </cell>
          <cell r="E135">
            <v>697</v>
          </cell>
          <cell r="F135">
            <v>800</v>
          </cell>
          <cell r="G135">
            <v>0</v>
          </cell>
          <cell r="H135">
            <v>4686.607</v>
          </cell>
          <cell r="I135">
            <v>0.770316732412886</v>
          </cell>
        </row>
        <row r="136">
          <cell r="B136" t="str">
            <v>永胜县</v>
          </cell>
          <cell r="C136">
            <v>15324.304</v>
          </cell>
          <cell r="D136">
            <v>11452</v>
          </cell>
          <cell r="E136">
            <v>1745</v>
          </cell>
          <cell r="F136">
            <v>1800</v>
          </cell>
          <cell r="G136">
            <v>327.304</v>
          </cell>
          <cell r="H136">
            <v>10516.5658</v>
          </cell>
          <cell r="I136">
            <v>0.686267108770486</v>
          </cell>
        </row>
        <row r="137">
          <cell r="B137" t="str">
            <v>华坪县</v>
          </cell>
          <cell r="C137">
            <v>5938</v>
          </cell>
          <cell r="D137">
            <v>2181</v>
          </cell>
          <cell r="E137">
            <v>2467</v>
          </cell>
          <cell r="F137">
            <v>900</v>
          </cell>
          <cell r="G137">
            <v>390</v>
          </cell>
          <cell r="H137">
            <v>5185.9123</v>
          </cell>
          <cell r="I137">
            <v>0.87334326372516</v>
          </cell>
        </row>
        <row r="138">
          <cell r="B138" t="str">
            <v>宁蒗县</v>
          </cell>
          <cell r="C138">
            <v>29708</v>
          </cell>
          <cell r="D138">
            <v>24311</v>
          </cell>
          <cell r="E138">
            <v>2697</v>
          </cell>
          <cell r="F138">
            <v>2700</v>
          </cell>
          <cell r="G138">
            <v>0</v>
          </cell>
          <cell r="H138">
            <v>16874.15</v>
          </cell>
          <cell r="I138">
            <v>0.5680002019658</v>
          </cell>
        </row>
        <row r="139">
          <cell r="C139">
            <v>215494.46</v>
          </cell>
          <cell r="D139">
            <v>170325</v>
          </cell>
          <cell r="E139">
            <v>45169.46</v>
          </cell>
          <cell r="F139">
            <v>0</v>
          </cell>
          <cell r="G139">
            <v>0</v>
          </cell>
          <cell r="H139">
            <v>197398.5626</v>
          </cell>
          <cell r="I139">
            <v>0.916026159558812</v>
          </cell>
        </row>
        <row r="140">
          <cell r="B140" t="str">
            <v>泸水市</v>
          </cell>
          <cell r="C140">
            <v>63333.22</v>
          </cell>
          <cell r="D140">
            <v>44492.22</v>
          </cell>
          <cell r="E140">
            <v>18841</v>
          </cell>
          <cell r="F140">
            <v>0</v>
          </cell>
          <cell r="G140">
            <v>0</v>
          </cell>
          <cell r="H140">
            <v>59974.0619</v>
          </cell>
          <cell r="I140">
            <v>0.946960566666277</v>
          </cell>
        </row>
        <row r="141">
          <cell r="B141" t="str">
            <v>福贡县</v>
          </cell>
          <cell r="C141">
            <v>58493.39</v>
          </cell>
          <cell r="D141">
            <v>47383.39</v>
          </cell>
          <cell r="E141">
            <v>11110</v>
          </cell>
          <cell r="F141">
            <v>0</v>
          </cell>
          <cell r="G141">
            <v>0</v>
          </cell>
          <cell r="H141">
            <v>53794.2832</v>
          </cell>
          <cell r="I141">
            <v>0.919664310787937</v>
          </cell>
        </row>
        <row r="142">
          <cell r="B142" t="str">
            <v>贡山县</v>
          </cell>
          <cell r="C142">
            <v>34022.71</v>
          </cell>
          <cell r="D142">
            <v>26319.25</v>
          </cell>
          <cell r="E142">
            <v>7703.46</v>
          </cell>
          <cell r="F142">
            <v>0</v>
          </cell>
          <cell r="G142">
            <v>0</v>
          </cell>
          <cell r="H142">
            <v>28458.223</v>
          </cell>
          <cell r="I142">
            <v>0.836447860855294</v>
          </cell>
        </row>
        <row r="143">
          <cell r="B143" t="str">
            <v>兰坪县</v>
          </cell>
          <cell r="C143">
            <v>59645.14</v>
          </cell>
          <cell r="D143">
            <v>52130.14</v>
          </cell>
          <cell r="E143">
            <v>7515</v>
          </cell>
          <cell r="F143">
            <v>0</v>
          </cell>
          <cell r="G143">
            <v>0</v>
          </cell>
          <cell r="H143">
            <v>55171.9945</v>
          </cell>
          <cell r="I143">
            <v>0.925004023798083</v>
          </cell>
        </row>
        <row r="144">
          <cell r="C144">
            <v>118252</v>
          </cell>
          <cell r="D144">
            <v>94247</v>
          </cell>
          <cell r="E144">
            <v>24005</v>
          </cell>
          <cell r="F144">
            <v>0</v>
          </cell>
          <cell r="G144">
            <v>0</v>
          </cell>
          <cell r="H144">
            <v>104643.3549</v>
          </cell>
          <cell r="I144">
            <v>0.88491826692149</v>
          </cell>
        </row>
        <row r="145">
          <cell r="B145" t="str">
            <v>香格里拉市</v>
          </cell>
          <cell r="C145">
            <v>33659</v>
          </cell>
          <cell r="D145">
            <v>23887</v>
          </cell>
          <cell r="E145">
            <v>9772</v>
          </cell>
          <cell r="F145">
            <v>0</v>
          </cell>
          <cell r="G145">
            <v>0</v>
          </cell>
          <cell r="H145">
            <v>25314.9152</v>
          </cell>
          <cell r="I145">
            <v>0.752099444427939</v>
          </cell>
        </row>
        <row r="146">
          <cell r="B146" t="str">
            <v>德钦县</v>
          </cell>
          <cell r="C146">
            <v>28296</v>
          </cell>
          <cell r="D146">
            <v>22603</v>
          </cell>
          <cell r="E146">
            <v>5693</v>
          </cell>
          <cell r="F146">
            <v>0</v>
          </cell>
          <cell r="G146">
            <v>0</v>
          </cell>
          <cell r="H146">
            <v>23031.4397</v>
          </cell>
          <cell r="I146">
            <v>0.813946837008764</v>
          </cell>
        </row>
        <row r="147">
          <cell r="B147" t="str">
            <v>维西县</v>
          </cell>
          <cell r="C147">
            <v>56297</v>
          </cell>
          <cell r="D147">
            <v>47757</v>
          </cell>
          <cell r="E147">
            <v>8540</v>
          </cell>
          <cell r="F147">
            <v>0</v>
          </cell>
          <cell r="G147">
            <v>0</v>
          </cell>
          <cell r="H147">
            <v>56297</v>
          </cell>
          <cell r="I147">
            <v>1</v>
          </cell>
        </row>
        <row r="148">
          <cell r="C148">
            <v>87808.03</v>
          </cell>
          <cell r="D148">
            <v>62434</v>
          </cell>
          <cell r="E148">
            <v>19179</v>
          </cell>
          <cell r="F148">
            <v>1110</v>
          </cell>
          <cell r="G148">
            <v>5085.03</v>
          </cell>
          <cell r="H148">
            <v>65961.684</v>
          </cell>
          <cell r="I148">
            <v>0.751203323887348</v>
          </cell>
        </row>
        <row r="149">
          <cell r="B149" t="str">
            <v>临翔区</v>
          </cell>
          <cell r="C149">
            <v>8833</v>
          </cell>
          <cell r="D149">
            <v>5851</v>
          </cell>
          <cell r="E149">
            <v>2582</v>
          </cell>
          <cell r="F149">
            <v>400</v>
          </cell>
          <cell r="G149">
            <v>0</v>
          </cell>
          <cell r="H149">
            <v>5550.67</v>
          </cell>
          <cell r="I149">
            <v>0.628401449111287</v>
          </cell>
        </row>
        <row r="150">
          <cell r="B150" t="str">
            <v>凤庆县</v>
          </cell>
          <cell r="C150">
            <v>20141.03</v>
          </cell>
          <cell r="D150">
            <v>12387</v>
          </cell>
          <cell r="E150">
            <v>2669</v>
          </cell>
          <cell r="F150">
            <v>0</v>
          </cell>
          <cell r="G150">
            <v>5085.03</v>
          </cell>
          <cell r="H150">
            <v>16992.03</v>
          </cell>
          <cell r="I150">
            <v>0.843652484505509</v>
          </cell>
        </row>
        <row r="151">
          <cell r="B151" t="str">
            <v>云县</v>
          </cell>
          <cell r="C151">
            <v>8088</v>
          </cell>
          <cell r="D151">
            <v>6945</v>
          </cell>
          <cell r="E151">
            <v>1143</v>
          </cell>
          <cell r="F151">
            <v>0</v>
          </cell>
          <cell r="G151">
            <v>0</v>
          </cell>
          <cell r="H151">
            <v>5588.84</v>
          </cell>
          <cell r="I151">
            <v>0.691003956478734</v>
          </cell>
        </row>
        <row r="152">
          <cell r="B152" t="str">
            <v>永德县</v>
          </cell>
          <cell r="C152">
            <v>11318</v>
          </cell>
          <cell r="D152">
            <v>9514</v>
          </cell>
          <cell r="E152">
            <v>1704</v>
          </cell>
          <cell r="F152">
            <v>100</v>
          </cell>
          <cell r="G152">
            <v>0</v>
          </cell>
          <cell r="H152">
            <v>8923.9</v>
          </cell>
          <cell r="I152">
            <v>0.788469694292278</v>
          </cell>
        </row>
        <row r="153">
          <cell r="B153" t="str">
            <v>镇康县</v>
          </cell>
          <cell r="C153">
            <v>9446</v>
          </cell>
          <cell r="D153">
            <v>6478</v>
          </cell>
          <cell r="E153">
            <v>2918</v>
          </cell>
          <cell r="F153">
            <v>50</v>
          </cell>
          <cell r="G153">
            <v>0</v>
          </cell>
          <cell r="H153">
            <v>7177.5</v>
          </cell>
          <cell r="I153">
            <v>0.759845437222105</v>
          </cell>
        </row>
        <row r="154">
          <cell r="B154" t="str">
            <v>双江县</v>
          </cell>
          <cell r="C154">
            <v>7499</v>
          </cell>
          <cell r="D154">
            <v>5097</v>
          </cell>
          <cell r="E154">
            <v>2242</v>
          </cell>
          <cell r="F154">
            <v>160</v>
          </cell>
          <cell r="G154">
            <v>0</v>
          </cell>
          <cell r="H154">
            <v>5784.254</v>
          </cell>
          <cell r="I154">
            <v>0.771336711561542</v>
          </cell>
        </row>
        <row r="155">
          <cell r="B155" t="str">
            <v>耿马县</v>
          </cell>
          <cell r="C155">
            <v>8921</v>
          </cell>
          <cell r="D155">
            <v>6519</v>
          </cell>
          <cell r="E155">
            <v>2002</v>
          </cell>
          <cell r="F155">
            <v>400</v>
          </cell>
          <cell r="G155">
            <v>0</v>
          </cell>
          <cell r="H155">
            <v>7096.49</v>
          </cell>
          <cell r="I155">
            <v>0.795481448268131</v>
          </cell>
        </row>
        <row r="156">
          <cell r="B156" t="str">
            <v>沧源县</v>
          </cell>
          <cell r="C156">
            <v>13562</v>
          </cell>
          <cell r="D156">
            <v>9643</v>
          </cell>
          <cell r="E156">
            <v>3919</v>
          </cell>
          <cell r="F156">
            <v>0</v>
          </cell>
          <cell r="G156">
            <v>0</v>
          </cell>
          <cell r="H156">
            <v>8848</v>
          </cell>
          <cell r="I156">
            <v>0.652411148798112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>
        <row r="2">
          <cell r="B2" t="str">
            <v>地区</v>
          </cell>
          <cell r="C2" t="str">
            <v>原贫困县标识</v>
          </cell>
          <cell r="D2" t="str">
            <v>边境县</v>
          </cell>
          <cell r="E2" t="str">
            <v>“百千万”示范村（个）</v>
          </cell>
        </row>
        <row r="3">
          <cell r="B3" t="str">
            <v>全省合计</v>
          </cell>
        </row>
        <row r="3">
          <cell r="E3">
            <v>1000</v>
          </cell>
        </row>
        <row r="4">
          <cell r="B4" t="str">
            <v>昆明市合计</v>
          </cell>
          <cell r="C4">
            <v>1</v>
          </cell>
        </row>
        <row r="4">
          <cell r="E4">
            <v>80</v>
          </cell>
        </row>
        <row r="5">
          <cell r="B5" t="str">
            <v>昆明市本级</v>
          </cell>
          <cell r="C5">
            <v>2</v>
          </cell>
        </row>
        <row r="5">
          <cell r="E5">
            <v>2</v>
          </cell>
        </row>
        <row r="6">
          <cell r="B6" t="str">
            <v>县级小计</v>
          </cell>
          <cell r="C6">
            <v>3</v>
          </cell>
        </row>
        <row r="6">
          <cell r="E6">
            <v>78</v>
          </cell>
        </row>
        <row r="7">
          <cell r="B7" t="str">
            <v>盘龙区</v>
          </cell>
          <cell r="C7" t="str">
            <v>非贫困县</v>
          </cell>
        </row>
        <row r="7">
          <cell r="E7">
            <v>7</v>
          </cell>
        </row>
        <row r="8">
          <cell r="B8" t="str">
            <v>五华区</v>
          </cell>
          <cell r="C8" t="str">
            <v>非贫困县</v>
          </cell>
        </row>
        <row r="9">
          <cell r="B9" t="str">
            <v>西山区</v>
          </cell>
          <cell r="C9" t="str">
            <v>非贫困县</v>
          </cell>
        </row>
        <row r="9">
          <cell r="E9">
            <v>6</v>
          </cell>
        </row>
        <row r="10">
          <cell r="B10" t="str">
            <v>官渡区</v>
          </cell>
          <cell r="C10" t="str">
            <v>非贫困县</v>
          </cell>
        </row>
        <row r="10">
          <cell r="E10">
            <v>2</v>
          </cell>
        </row>
        <row r="11">
          <cell r="B11" t="str">
            <v>呈贡区</v>
          </cell>
          <cell r="C11" t="str">
            <v>非贫困县</v>
          </cell>
        </row>
        <row r="11">
          <cell r="E11">
            <v>2</v>
          </cell>
        </row>
        <row r="12">
          <cell r="B12" t="str">
            <v>安宁市</v>
          </cell>
          <cell r="C12" t="str">
            <v>非贫困县</v>
          </cell>
        </row>
        <row r="12">
          <cell r="E12">
            <v>7</v>
          </cell>
        </row>
        <row r="13">
          <cell r="B13" t="str">
            <v>富民县</v>
          </cell>
          <cell r="C13" t="str">
            <v>非贫困县</v>
          </cell>
        </row>
        <row r="13">
          <cell r="E13">
            <v>6</v>
          </cell>
        </row>
        <row r="14">
          <cell r="B14" t="str">
            <v>晋宁区</v>
          </cell>
          <cell r="C14" t="str">
            <v>非贫困县</v>
          </cell>
        </row>
        <row r="14">
          <cell r="E14">
            <v>8</v>
          </cell>
        </row>
        <row r="15">
          <cell r="B15" t="str">
            <v>宜良县</v>
          </cell>
          <cell r="C15" t="str">
            <v>非贫困县</v>
          </cell>
        </row>
        <row r="15">
          <cell r="E15">
            <v>6</v>
          </cell>
        </row>
        <row r="16">
          <cell r="B16" t="str">
            <v>石林县</v>
          </cell>
          <cell r="C16" t="str">
            <v>非贫困县</v>
          </cell>
        </row>
        <row r="16">
          <cell r="E16">
            <v>6</v>
          </cell>
        </row>
        <row r="17">
          <cell r="B17" t="str">
            <v>嵩明县</v>
          </cell>
          <cell r="C17" t="str">
            <v>非贫困县</v>
          </cell>
        </row>
        <row r="17">
          <cell r="E17">
            <v>8</v>
          </cell>
        </row>
        <row r="18">
          <cell r="B18" t="str">
            <v>禄劝县</v>
          </cell>
          <cell r="C18" t="str">
            <v>贫困</v>
          </cell>
        </row>
        <row r="18">
          <cell r="E18">
            <v>5</v>
          </cell>
        </row>
        <row r="19">
          <cell r="B19" t="str">
            <v>东川区</v>
          </cell>
          <cell r="C19" t="str">
            <v>深度贫困</v>
          </cell>
        </row>
        <row r="19">
          <cell r="E19">
            <v>7</v>
          </cell>
        </row>
        <row r="20">
          <cell r="B20" t="str">
            <v>寻甸县</v>
          </cell>
          <cell r="C20" t="str">
            <v>贫困</v>
          </cell>
        </row>
        <row r="20">
          <cell r="E20">
            <v>8</v>
          </cell>
        </row>
        <row r="21">
          <cell r="B21" t="str">
            <v>昭通市合计</v>
          </cell>
          <cell r="C21">
            <v>1</v>
          </cell>
        </row>
        <row r="21">
          <cell r="E21">
            <v>72</v>
          </cell>
        </row>
        <row r="22">
          <cell r="B22" t="str">
            <v>昭通市本级</v>
          </cell>
          <cell r="C22">
            <v>2</v>
          </cell>
        </row>
        <row r="23">
          <cell r="B23" t="str">
            <v>县级小计</v>
          </cell>
          <cell r="C23">
            <v>3</v>
          </cell>
        </row>
        <row r="23">
          <cell r="E23">
            <v>72</v>
          </cell>
        </row>
        <row r="24">
          <cell r="B24" t="str">
            <v>昭阳区</v>
          </cell>
          <cell r="C24" t="str">
            <v>深度贫困</v>
          </cell>
        </row>
        <row r="24">
          <cell r="E24">
            <v>8</v>
          </cell>
        </row>
        <row r="25">
          <cell r="B25" t="str">
            <v>鲁甸县</v>
          </cell>
          <cell r="C25" t="str">
            <v>深度贫困</v>
          </cell>
        </row>
        <row r="25">
          <cell r="E25">
            <v>5</v>
          </cell>
        </row>
        <row r="26">
          <cell r="B26" t="str">
            <v>巧家县</v>
          </cell>
          <cell r="C26" t="str">
            <v>深度贫困</v>
          </cell>
        </row>
        <row r="26">
          <cell r="E26">
            <v>6</v>
          </cell>
        </row>
        <row r="27">
          <cell r="B27" t="str">
            <v>盐津县</v>
          </cell>
          <cell r="C27" t="str">
            <v>贫困</v>
          </cell>
        </row>
        <row r="27">
          <cell r="E27">
            <v>7</v>
          </cell>
        </row>
        <row r="28">
          <cell r="B28" t="str">
            <v>大关县</v>
          </cell>
          <cell r="C28" t="str">
            <v>深度贫困</v>
          </cell>
        </row>
        <row r="28">
          <cell r="E28">
            <v>6</v>
          </cell>
        </row>
        <row r="29">
          <cell r="B29" t="str">
            <v>永善县</v>
          </cell>
          <cell r="C29" t="str">
            <v>深度贫困</v>
          </cell>
        </row>
        <row r="29">
          <cell r="E29">
            <v>6</v>
          </cell>
        </row>
        <row r="30">
          <cell r="B30" t="str">
            <v>绥江县</v>
          </cell>
          <cell r="C30" t="str">
            <v>贫困</v>
          </cell>
        </row>
        <row r="30">
          <cell r="E30">
            <v>5</v>
          </cell>
        </row>
        <row r="31">
          <cell r="B31" t="str">
            <v>镇雄县</v>
          </cell>
          <cell r="C31" t="str">
            <v>深度贫困</v>
          </cell>
        </row>
        <row r="31">
          <cell r="E31">
            <v>10</v>
          </cell>
        </row>
        <row r="32">
          <cell r="B32" t="str">
            <v>彝良县</v>
          </cell>
          <cell r="C32" t="str">
            <v>深度贫困</v>
          </cell>
        </row>
        <row r="32">
          <cell r="E32">
            <v>4</v>
          </cell>
        </row>
        <row r="33">
          <cell r="B33" t="str">
            <v>威信县</v>
          </cell>
          <cell r="C33" t="str">
            <v>贫困</v>
          </cell>
        </row>
        <row r="33">
          <cell r="E33">
            <v>7</v>
          </cell>
        </row>
        <row r="34">
          <cell r="B34" t="str">
            <v>水富市</v>
          </cell>
          <cell r="C34" t="str">
            <v>非贫困县</v>
          </cell>
        </row>
        <row r="34">
          <cell r="E34">
            <v>8</v>
          </cell>
        </row>
        <row r="35">
          <cell r="B35" t="str">
            <v>曲靖市合计</v>
          </cell>
          <cell r="C35">
            <v>1</v>
          </cell>
        </row>
        <row r="35">
          <cell r="E35">
            <v>73</v>
          </cell>
        </row>
        <row r="36">
          <cell r="B36" t="str">
            <v>曲靖市本级</v>
          </cell>
          <cell r="C36">
            <v>2</v>
          </cell>
        </row>
        <row r="36">
          <cell r="E36">
            <v>1</v>
          </cell>
        </row>
        <row r="37">
          <cell r="B37" t="str">
            <v>县级小计</v>
          </cell>
          <cell r="C37">
            <v>3</v>
          </cell>
        </row>
        <row r="37">
          <cell r="E37">
            <v>72</v>
          </cell>
        </row>
        <row r="38">
          <cell r="B38" t="str">
            <v>麒麟区</v>
          </cell>
          <cell r="C38" t="str">
            <v>非贫困县</v>
          </cell>
        </row>
        <row r="38">
          <cell r="E38">
            <v>10</v>
          </cell>
        </row>
        <row r="39">
          <cell r="B39" t="str">
            <v>沾益区</v>
          </cell>
          <cell r="C39" t="str">
            <v>非贫困县</v>
          </cell>
        </row>
        <row r="39">
          <cell r="E39">
            <v>7</v>
          </cell>
        </row>
        <row r="40">
          <cell r="B40" t="str">
            <v>马龙区</v>
          </cell>
          <cell r="C40" t="str">
            <v>非贫困县</v>
          </cell>
        </row>
        <row r="40">
          <cell r="E40">
            <v>7</v>
          </cell>
        </row>
        <row r="41">
          <cell r="B41" t="str">
            <v>宣威市</v>
          </cell>
          <cell r="C41" t="str">
            <v>深度贫困</v>
          </cell>
        </row>
        <row r="41">
          <cell r="E41">
            <v>13</v>
          </cell>
        </row>
        <row r="42">
          <cell r="B42" t="str">
            <v>富源县</v>
          </cell>
          <cell r="C42" t="str">
            <v>贫困</v>
          </cell>
        </row>
        <row r="42">
          <cell r="E42">
            <v>7</v>
          </cell>
        </row>
        <row r="43">
          <cell r="B43" t="str">
            <v>罗平县</v>
          </cell>
          <cell r="C43" t="str">
            <v>贫困</v>
          </cell>
        </row>
        <row r="43">
          <cell r="E43">
            <v>8</v>
          </cell>
        </row>
        <row r="44">
          <cell r="B44" t="str">
            <v>师宗县</v>
          </cell>
          <cell r="C44" t="str">
            <v>贫困</v>
          </cell>
        </row>
        <row r="44">
          <cell r="E44">
            <v>6</v>
          </cell>
        </row>
        <row r="45">
          <cell r="B45" t="str">
            <v>陆良县</v>
          </cell>
          <cell r="C45" t="str">
            <v>非贫困县</v>
          </cell>
        </row>
        <row r="45">
          <cell r="E45">
            <v>8</v>
          </cell>
        </row>
        <row r="46">
          <cell r="B46" t="str">
            <v>会泽县</v>
          </cell>
          <cell r="C46" t="str">
            <v>深度贫困</v>
          </cell>
        </row>
        <row r="46">
          <cell r="E46">
            <v>6</v>
          </cell>
        </row>
        <row r="47">
          <cell r="B47" t="str">
            <v>玉溪市合计</v>
          </cell>
          <cell r="C47">
            <v>1</v>
          </cell>
        </row>
        <row r="47">
          <cell r="E47">
            <v>67</v>
          </cell>
        </row>
        <row r="48">
          <cell r="B48" t="str">
            <v>玉溪市本级</v>
          </cell>
          <cell r="C48">
            <v>2</v>
          </cell>
        </row>
        <row r="49">
          <cell r="B49" t="str">
            <v>县级小计</v>
          </cell>
          <cell r="C49">
            <v>3</v>
          </cell>
        </row>
        <row r="49">
          <cell r="E49">
            <v>67</v>
          </cell>
        </row>
        <row r="50">
          <cell r="B50" t="str">
            <v>红塔区</v>
          </cell>
          <cell r="C50" t="str">
            <v>非贫困县</v>
          </cell>
        </row>
        <row r="50">
          <cell r="E50">
            <v>8</v>
          </cell>
        </row>
        <row r="51">
          <cell r="B51" t="str">
            <v>通海县</v>
          </cell>
          <cell r="C51" t="str">
            <v>非贫困县</v>
          </cell>
        </row>
        <row r="51">
          <cell r="E51">
            <v>7</v>
          </cell>
        </row>
        <row r="52">
          <cell r="B52" t="str">
            <v>江川区</v>
          </cell>
          <cell r="C52" t="str">
            <v>非贫困县</v>
          </cell>
        </row>
        <row r="52">
          <cell r="E52">
            <v>8</v>
          </cell>
        </row>
        <row r="53">
          <cell r="B53" t="str">
            <v>澄江市</v>
          </cell>
          <cell r="C53" t="str">
            <v>非贫困县</v>
          </cell>
        </row>
        <row r="53">
          <cell r="E53">
            <v>8</v>
          </cell>
        </row>
        <row r="54">
          <cell r="B54" t="str">
            <v>华宁县</v>
          </cell>
          <cell r="C54" t="str">
            <v>非贫困县</v>
          </cell>
        </row>
        <row r="54">
          <cell r="E54">
            <v>8</v>
          </cell>
        </row>
        <row r="55">
          <cell r="B55" t="str">
            <v>易门县</v>
          </cell>
          <cell r="C55" t="str">
            <v>非贫困县</v>
          </cell>
        </row>
        <row r="55">
          <cell r="E55">
            <v>8</v>
          </cell>
        </row>
        <row r="56">
          <cell r="B56" t="str">
            <v>峨山县</v>
          </cell>
          <cell r="C56" t="str">
            <v>非贫困县</v>
          </cell>
        </row>
        <row r="56">
          <cell r="E56">
            <v>6</v>
          </cell>
        </row>
        <row r="57">
          <cell r="B57" t="str">
            <v>新平县</v>
          </cell>
          <cell r="C57" t="str">
            <v>非贫困县</v>
          </cell>
        </row>
        <row r="57">
          <cell r="E57">
            <v>7</v>
          </cell>
        </row>
        <row r="58">
          <cell r="B58" t="str">
            <v>元江县</v>
          </cell>
          <cell r="C58" t="str">
            <v>非贫困县</v>
          </cell>
        </row>
        <row r="58">
          <cell r="E58">
            <v>7</v>
          </cell>
        </row>
        <row r="59">
          <cell r="B59" t="str">
            <v>红河州合计</v>
          </cell>
          <cell r="C59">
            <v>1</v>
          </cell>
        </row>
        <row r="59">
          <cell r="E59">
            <v>104</v>
          </cell>
        </row>
        <row r="60">
          <cell r="B60" t="str">
            <v>红河州本级</v>
          </cell>
          <cell r="C60">
            <v>2</v>
          </cell>
        </row>
        <row r="61">
          <cell r="B61" t="str">
            <v>县级小计</v>
          </cell>
          <cell r="C61">
            <v>3</v>
          </cell>
        </row>
        <row r="61">
          <cell r="E61">
            <v>104</v>
          </cell>
        </row>
        <row r="62">
          <cell r="B62" t="str">
            <v>个旧市</v>
          </cell>
          <cell r="C62" t="str">
            <v>非贫困县</v>
          </cell>
        </row>
        <row r="62">
          <cell r="E62">
            <v>5</v>
          </cell>
        </row>
        <row r="63">
          <cell r="B63" t="str">
            <v>开远市</v>
          </cell>
          <cell r="C63" t="str">
            <v>非贫困县</v>
          </cell>
        </row>
        <row r="63">
          <cell r="E63">
            <v>7</v>
          </cell>
        </row>
        <row r="64">
          <cell r="B64" t="str">
            <v>蒙自市</v>
          </cell>
          <cell r="C64" t="str">
            <v>非贫困县</v>
          </cell>
        </row>
        <row r="64">
          <cell r="E64">
            <v>6</v>
          </cell>
        </row>
        <row r="65">
          <cell r="B65" t="str">
            <v>建水县</v>
          </cell>
          <cell r="C65" t="str">
            <v>非贫困县</v>
          </cell>
        </row>
        <row r="65">
          <cell r="E65">
            <v>6</v>
          </cell>
        </row>
        <row r="66">
          <cell r="B66" t="str">
            <v>石屏县</v>
          </cell>
          <cell r="C66" t="str">
            <v>贫困</v>
          </cell>
        </row>
        <row r="66">
          <cell r="E66">
            <v>5</v>
          </cell>
        </row>
        <row r="67">
          <cell r="B67" t="str">
            <v>弥勒市</v>
          </cell>
          <cell r="C67" t="str">
            <v>非贫困县</v>
          </cell>
        </row>
        <row r="67">
          <cell r="E67">
            <v>5</v>
          </cell>
        </row>
        <row r="68">
          <cell r="B68" t="str">
            <v>泸西县</v>
          </cell>
          <cell r="C68" t="str">
            <v>贫困</v>
          </cell>
        </row>
        <row r="68">
          <cell r="E68">
            <v>5</v>
          </cell>
        </row>
        <row r="69">
          <cell r="B69" t="str">
            <v>屏边县</v>
          </cell>
          <cell r="C69" t="str">
            <v>贫困</v>
          </cell>
        </row>
        <row r="69">
          <cell r="E69">
            <v>5</v>
          </cell>
        </row>
        <row r="70">
          <cell r="B70" t="str">
            <v>河口县</v>
          </cell>
          <cell r="C70" t="str">
            <v>非贫困县</v>
          </cell>
          <cell r="D70" t="str">
            <v>是</v>
          </cell>
          <cell r="E70">
            <v>15</v>
          </cell>
        </row>
        <row r="71">
          <cell r="B71" t="str">
            <v>金平县</v>
          </cell>
          <cell r="C71" t="str">
            <v>深度贫困</v>
          </cell>
          <cell r="D71" t="str">
            <v>是</v>
          </cell>
          <cell r="E71">
            <v>27</v>
          </cell>
        </row>
        <row r="72">
          <cell r="B72" t="str">
            <v>元阳县</v>
          </cell>
          <cell r="C72" t="str">
            <v>深度贫困</v>
          </cell>
        </row>
        <row r="72">
          <cell r="E72">
            <v>6</v>
          </cell>
        </row>
        <row r="73">
          <cell r="B73" t="str">
            <v>红河县</v>
          </cell>
          <cell r="C73" t="str">
            <v>深度贫困</v>
          </cell>
        </row>
        <row r="73">
          <cell r="E73">
            <v>5</v>
          </cell>
        </row>
        <row r="74">
          <cell r="B74" t="str">
            <v>绿春县</v>
          </cell>
          <cell r="C74" t="str">
            <v>深度贫困</v>
          </cell>
          <cell r="D74" t="str">
            <v>是</v>
          </cell>
          <cell r="E74">
            <v>7</v>
          </cell>
        </row>
        <row r="75">
          <cell r="B75" t="str">
            <v>文山州合计</v>
          </cell>
          <cell r="C75">
            <v>1</v>
          </cell>
        </row>
        <row r="75">
          <cell r="E75">
            <v>70</v>
          </cell>
        </row>
        <row r="76">
          <cell r="B76" t="str">
            <v>文山州本级</v>
          </cell>
          <cell r="C76">
            <v>2</v>
          </cell>
        </row>
        <row r="77">
          <cell r="B77" t="str">
            <v>县级小计</v>
          </cell>
          <cell r="C77">
            <v>3</v>
          </cell>
        </row>
        <row r="77">
          <cell r="E77">
            <v>70</v>
          </cell>
        </row>
        <row r="78">
          <cell r="B78" t="str">
            <v>文山市</v>
          </cell>
          <cell r="C78" t="str">
            <v>贫困</v>
          </cell>
        </row>
        <row r="78">
          <cell r="E78">
            <v>7</v>
          </cell>
        </row>
        <row r="79">
          <cell r="B79" t="str">
            <v>砚山县</v>
          </cell>
          <cell r="C79" t="str">
            <v>贫困</v>
          </cell>
        </row>
        <row r="79">
          <cell r="E79">
            <v>5</v>
          </cell>
        </row>
        <row r="80">
          <cell r="B80" t="str">
            <v>西畴县</v>
          </cell>
          <cell r="C80" t="str">
            <v>贫困</v>
          </cell>
        </row>
        <row r="80">
          <cell r="E80">
            <v>5</v>
          </cell>
        </row>
        <row r="81">
          <cell r="B81" t="str">
            <v>麻栗坡县</v>
          </cell>
          <cell r="C81" t="str">
            <v>贫困</v>
          </cell>
          <cell r="D81" t="str">
            <v>是</v>
          </cell>
          <cell r="E81">
            <v>23</v>
          </cell>
        </row>
        <row r="82">
          <cell r="B82" t="str">
            <v>马关县</v>
          </cell>
          <cell r="C82" t="str">
            <v>深度贫困</v>
          </cell>
          <cell r="D82" t="str">
            <v>是</v>
          </cell>
          <cell r="E82">
            <v>12</v>
          </cell>
        </row>
        <row r="83">
          <cell r="B83" t="str">
            <v>丘北县</v>
          </cell>
          <cell r="C83" t="str">
            <v>贫困</v>
          </cell>
        </row>
        <row r="83">
          <cell r="E83">
            <v>6</v>
          </cell>
        </row>
        <row r="84">
          <cell r="B84" t="str">
            <v>广南县</v>
          </cell>
          <cell r="C84" t="str">
            <v>深度贫困</v>
          </cell>
        </row>
        <row r="84">
          <cell r="E84">
            <v>5</v>
          </cell>
        </row>
        <row r="85">
          <cell r="B85" t="str">
            <v>富宁县</v>
          </cell>
          <cell r="C85" t="str">
            <v>贫困</v>
          </cell>
          <cell r="D85" t="str">
            <v>是</v>
          </cell>
          <cell r="E85">
            <v>7</v>
          </cell>
        </row>
        <row r="86">
          <cell r="B86" t="str">
            <v>普洱市合计</v>
          </cell>
          <cell r="C86">
            <v>1</v>
          </cell>
        </row>
        <row r="86">
          <cell r="E86">
            <v>70</v>
          </cell>
        </row>
        <row r="87">
          <cell r="B87" t="str">
            <v>普洱市本级</v>
          </cell>
          <cell r="C87">
            <v>2</v>
          </cell>
        </row>
        <row r="88">
          <cell r="B88" t="str">
            <v>县级小计</v>
          </cell>
          <cell r="C88">
            <v>3</v>
          </cell>
        </row>
        <row r="88">
          <cell r="E88">
            <v>70</v>
          </cell>
        </row>
        <row r="89">
          <cell r="B89" t="str">
            <v>思茅区</v>
          </cell>
          <cell r="C89" t="str">
            <v>非贫困县</v>
          </cell>
        </row>
        <row r="89">
          <cell r="E89">
            <v>5</v>
          </cell>
        </row>
        <row r="90">
          <cell r="B90" t="str">
            <v>宁洱县</v>
          </cell>
          <cell r="C90" t="str">
            <v>贫困</v>
          </cell>
        </row>
        <row r="90">
          <cell r="E90">
            <v>3</v>
          </cell>
        </row>
        <row r="91">
          <cell r="B91" t="str">
            <v>墨江县</v>
          </cell>
          <cell r="C91" t="str">
            <v>贫困</v>
          </cell>
        </row>
        <row r="91">
          <cell r="E91">
            <v>4</v>
          </cell>
        </row>
        <row r="92">
          <cell r="B92" t="str">
            <v>景谷县</v>
          </cell>
          <cell r="C92" t="str">
            <v>贫困</v>
          </cell>
        </row>
        <row r="92">
          <cell r="E92">
            <v>5</v>
          </cell>
        </row>
        <row r="93">
          <cell r="B93" t="str">
            <v>镇沅县</v>
          </cell>
          <cell r="C93" t="str">
            <v>贫困</v>
          </cell>
        </row>
        <row r="93">
          <cell r="E93">
            <v>4</v>
          </cell>
        </row>
        <row r="94">
          <cell r="B94" t="str">
            <v>景东县</v>
          </cell>
          <cell r="C94" t="str">
            <v>贫困</v>
          </cell>
        </row>
        <row r="94">
          <cell r="E94">
            <v>5</v>
          </cell>
        </row>
        <row r="95">
          <cell r="B95" t="str">
            <v>江城县</v>
          </cell>
          <cell r="C95" t="str">
            <v>深度贫困</v>
          </cell>
          <cell r="D95" t="str">
            <v>是</v>
          </cell>
          <cell r="E95">
            <v>11</v>
          </cell>
        </row>
        <row r="96">
          <cell r="B96" t="str">
            <v>澜沧县</v>
          </cell>
          <cell r="C96" t="str">
            <v>深度贫困</v>
          </cell>
          <cell r="D96" t="str">
            <v>是</v>
          </cell>
          <cell r="E96">
            <v>8</v>
          </cell>
        </row>
        <row r="97">
          <cell r="B97" t="str">
            <v>孟连县</v>
          </cell>
          <cell r="C97" t="str">
            <v>贫困</v>
          </cell>
          <cell r="D97" t="str">
            <v>是</v>
          </cell>
          <cell r="E97">
            <v>11</v>
          </cell>
        </row>
        <row r="98">
          <cell r="B98" t="str">
            <v>西盟县</v>
          </cell>
          <cell r="C98" t="str">
            <v>贫困</v>
          </cell>
          <cell r="D98" t="str">
            <v>是</v>
          </cell>
          <cell r="E98">
            <v>14</v>
          </cell>
        </row>
        <row r="99">
          <cell r="B99" t="str">
            <v>西双版纳州合计</v>
          </cell>
          <cell r="C99">
            <v>1</v>
          </cell>
        </row>
        <row r="99">
          <cell r="E99">
            <v>48</v>
          </cell>
        </row>
        <row r="100">
          <cell r="B100" t="str">
            <v>西双版纳州本级</v>
          </cell>
          <cell r="C100">
            <v>2</v>
          </cell>
        </row>
        <row r="101">
          <cell r="B101" t="str">
            <v>县级小计</v>
          </cell>
          <cell r="C101">
            <v>3</v>
          </cell>
        </row>
        <row r="101">
          <cell r="E101">
            <v>48</v>
          </cell>
        </row>
        <row r="102">
          <cell r="B102" t="str">
            <v>景洪市</v>
          </cell>
          <cell r="C102" t="str">
            <v>非贫困县</v>
          </cell>
          <cell r="D102" t="str">
            <v>是</v>
          </cell>
          <cell r="E102">
            <v>9</v>
          </cell>
        </row>
        <row r="103">
          <cell r="B103" t="str">
            <v>勐海县</v>
          </cell>
          <cell r="C103" t="str">
            <v>贫困</v>
          </cell>
          <cell r="D103" t="str">
            <v>是</v>
          </cell>
          <cell r="E103">
            <v>12</v>
          </cell>
        </row>
        <row r="104">
          <cell r="B104" t="str">
            <v>勐腊县</v>
          </cell>
          <cell r="C104" t="str">
            <v>贫困</v>
          </cell>
          <cell r="D104" t="str">
            <v>是</v>
          </cell>
          <cell r="E104">
            <v>27</v>
          </cell>
        </row>
        <row r="105">
          <cell r="B105" t="str">
            <v>楚雄州合计</v>
          </cell>
          <cell r="C105">
            <v>1</v>
          </cell>
        </row>
        <row r="105">
          <cell r="E105">
            <v>61</v>
          </cell>
        </row>
        <row r="106">
          <cell r="B106" t="str">
            <v>楚雄州本级</v>
          </cell>
          <cell r="C106">
            <v>2</v>
          </cell>
        </row>
        <row r="107">
          <cell r="B107" t="str">
            <v>县级小计</v>
          </cell>
          <cell r="C107">
            <v>3</v>
          </cell>
        </row>
        <row r="107">
          <cell r="E107">
            <v>61</v>
          </cell>
        </row>
        <row r="108">
          <cell r="B108" t="str">
            <v>楚雄市</v>
          </cell>
          <cell r="C108" t="str">
            <v>非贫困县</v>
          </cell>
        </row>
        <row r="108">
          <cell r="E108">
            <v>6</v>
          </cell>
        </row>
        <row r="109">
          <cell r="B109" t="str">
            <v>双柏县</v>
          </cell>
          <cell r="C109" t="str">
            <v>贫困</v>
          </cell>
        </row>
        <row r="109">
          <cell r="E109">
            <v>5</v>
          </cell>
        </row>
        <row r="110">
          <cell r="B110" t="str">
            <v>牟定县</v>
          </cell>
          <cell r="C110" t="str">
            <v>贫困</v>
          </cell>
        </row>
        <row r="110">
          <cell r="E110">
            <v>5</v>
          </cell>
        </row>
        <row r="111">
          <cell r="B111" t="str">
            <v>南华县</v>
          </cell>
          <cell r="C111" t="str">
            <v>贫困</v>
          </cell>
        </row>
        <row r="111">
          <cell r="E111">
            <v>6</v>
          </cell>
        </row>
        <row r="112">
          <cell r="B112" t="str">
            <v>姚安县</v>
          </cell>
          <cell r="C112" t="str">
            <v>贫困</v>
          </cell>
        </row>
        <row r="112">
          <cell r="E112">
            <v>7</v>
          </cell>
        </row>
        <row r="113">
          <cell r="B113" t="str">
            <v>大姚县</v>
          </cell>
          <cell r="C113" t="str">
            <v>贫困</v>
          </cell>
        </row>
        <row r="113">
          <cell r="E113">
            <v>7</v>
          </cell>
        </row>
        <row r="114">
          <cell r="B114" t="str">
            <v>永仁县</v>
          </cell>
          <cell r="C114" t="str">
            <v>贫困</v>
          </cell>
        </row>
        <row r="114">
          <cell r="E114">
            <v>6</v>
          </cell>
        </row>
        <row r="115">
          <cell r="B115" t="str">
            <v>元谋县</v>
          </cell>
          <cell r="C115" t="str">
            <v>非贫困县</v>
          </cell>
        </row>
        <row r="115">
          <cell r="E115">
            <v>8</v>
          </cell>
        </row>
        <row r="116">
          <cell r="B116" t="str">
            <v>武定县</v>
          </cell>
          <cell r="C116" t="str">
            <v>深度贫困</v>
          </cell>
        </row>
        <row r="116">
          <cell r="E116">
            <v>5</v>
          </cell>
        </row>
        <row r="117">
          <cell r="B117" t="str">
            <v>禄丰市</v>
          </cell>
          <cell r="C117" t="str">
            <v>非贫困县</v>
          </cell>
        </row>
        <row r="117">
          <cell r="E117">
            <v>6</v>
          </cell>
        </row>
        <row r="118">
          <cell r="B118" t="str">
            <v>大理州合计</v>
          </cell>
          <cell r="C118">
            <v>1</v>
          </cell>
        </row>
        <row r="118">
          <cell r="E118">
            <v>81</v>
          </cell>
        </row>
        <row r="119">
          <cell r="B119" t="str">
            <v>大理州本级</v>
          </cell>
          <cell r="C119">
            <v>2</v>
          </cell>
        </row>
        <row r="120">
          <cell r="B120" t="str">
            <v>县级小计</v>
          </cell>
          <cell r="C120">
            <v>3</v>
          </cell>
        </row>
        <row r="120">
          <cell r="E120">
            <v>81</v>
          </cell>
        </row>
        <row r="121">
          <cell r="B121" t="str">
            <v>大理市</v>
          </cell>
          <cell r="C121" t="str">
            <v>非贫困县</v>
          </cell>
        </row>
        <row r="121">
          <cell r="E121">
            <v>29</v>
          </cell>
        </row>
        <row r="122">
          <cell r="B122" t="str">
            <v>漾濞县</v>
          </cell>
          <cell r="C122" t="str">
            <v>贫困</v>
          </cell>
        </row>
        <row r="122">
          <cell r="E122">
            <v>6</v>
          </cell>
        </row>
        <row r="123">
          <cell r="B123" t="str">
            <v>祥云县</v>
          </cell>
          <cell r="C123" t="str">
            <v>贫困</v>
          </cell>
        </row>
        <row r="123">
          <cell r="E123">
            <v>5</v>
          </cell>
        </row>
        <row r="124">
          <cell r="B124" t="str">
            <v>宾川县</v>
          </cell>
          <cell r="C124" t="str">
            <v>贫困</v>
          </cell>
        </row>
        <row r="124">
          <cell r="E124">
            <v>4</v>
          </cell>
        </row>
        <row r="125">
          <cell r="B125" t="str">
            <v>弥渡县</v>
          </cell>
          <cell r="C125" t="str">
            <v>贫困</v>
          </cell>
        </row>
        <row r="125">
          <cell r="E125">
            <v>5</v>
          </cell>
        </row>
        <row r="126">
          <cell r="B126" t="str">
            <v>南涧县</v>
          </cell>
          <cell r="C126" t="str">
            <v>贫困</v>
          </cell>
        </row>
        <row r="126">
          <cell r="E126">
            <v>7</v>
          </cell>
        </row>
        <row r="127">
          <cell r="B127" t="str">
            <v>巍山县</v>
          </cell>
          <cell r="C127" t="str">
            <v>贫困</v>
          </cell>
        </row>
        <row r="127">
          <cell r="E127">
            <v>5</v>
          </cell>
        </row>
        <row r="128">
          <cell r="B128" t="str">
            <v>永平县</v>
          </cell>
          <cell r="C128" t="str">
            <v>贫困</v>
          </cell>
        </row>
        <row r="128">
          <cell r="E128">
            <v>6</v>
          </cell>
        </row>
        <row r="129">
          <cell r="B129" t="str">
            <v>云龙县</v>
          </cell>
          <cell r="C129" t="str">
            <v>贫困</v>
          </cell>
        </row>
        <row r="129">
          <cell r="E129">
            <v>5</v>
          </cell>
        </row>
        <row r="130">
          <cell r="B130" t="str">
            <v>洱源县</v>
          </cell>
          <cell r="C130" t="str">
            <v>贫困</v>
          </cell>
        </row>
        <row r="130">
          <cell r="E130">
            <v>3</v>
          </cell>
        </row>
        <row r="131">
          <cell r="B131" t="str">
            <v>剑川县</v>
          </cell>
          <cell r="C131" t="str">
            <v>贫困</v>
          </cell>
        </row>
        <row r="131">
          <cell r="E131">
            <v>3</v>
          </cell>
        </row>
        <row r="132">
          <cell r="B132" t="str">
            <v>鹤庆县</v>
          </cell>
          <cell r="C132" t="str">
            <v>贫困</v>
          </cell>
        </row>
        <row r="132">
          <cell r="E132">
            <v>3</v>
          </cell>
        </row>
        <row r="133">
          <cell r="B133" t="str">
            <v>保山市合计</v>
          </cell>
          <cell r="C133">
            <v>1</v>
          </cell>
        </row>
        <row r="133">
          <cell r="E133">
            <v>34</v>
          </cell>
        </row>
        <row r="134">
          <cell r="B134" t="str">
            <v>保山市本级</v>
          </cell>
          <cell r="C134">
            <v>2</v>
          </cell>
        </row>
        <row r="135">
          <cell r="B135" t="str">
            <v>县级小计</v>
          </cell>
          <cell r="C135">
            <v>3</v>
          </cell>
        </row>
        <row r="135">
          <cell r="E135">
            <v>34</v>
          </cell>
        </row>
        <row r="136">
          <cell r="B136" t="str">
            <v>隆阳区</v>
          </cell>
          <cell r="C136" t="str">
            <v>贫困</v>
          </cell>
        </row>
        <row r="136">
          <cell r="E136">
            <v>10</v>
          </cell>
        </row>
        <row r="137">
          <cell r="B137" t="str">
            <v>施甸县</v>
          </cell>
          <cell r="C137" t="str">
            <v>贫困</v>
          </cell>
        </row>
        <row r="137">
          <cell r="E137">
            <v>6</v>
          </cell>
        </row>
        <row r="138">
          <cell r="B138" t="str">
            <v>腾冲市</v>
          </cell>
          <cell r="C138" t="str">
            <v>非贫困县</v>
          </cell>
          <cell r="D138" t="str">
            <v>是</v>
          </cell>
          <cell r="E138">
            <v>6</v>
          </cell>
        </row>
        <row r="139">
          <cell r="B139" t="str">
            <v>昌宁县</v>
          </cell>
          <cell r="C139" t="str">
            <v>贫困</v>
          </cell>
        </row>
        <row r="139">
          <cell r="E139">
            <v>7</v>
          </cell>
        </row>
        <row r="140">
          <cell r="B140" t="str">
            <v>龙陵县</v>
          </cell>
          <cell r="C140" t="str">
            <v>贫困</v>
          </cell>
          <cell r="D140" t="str">
            <v>是</v>
          </cell>
          <cell r="E140">
            <v>5</v>
          </cell>
        </row>
        <row r="141">
          <cell r="B141" t="str">
            <v>德宏州合计</v>
          </cell>
          <cell r="C141">
            <v>1</v>
          </cell>
        </row>
        <row r="141">
          <cell r="E141">
            <v>61</v>
          </cell>
        </row>
        <row r="142">
          <cell r="B142" t="str">
            <v>德宏州本级</v>
          </cell>
          <cell r="C142">
            <v>2</v>
          </cell>
        </row>
        <row r="143">
          <cell r="B143" t="str">
            <v>县级小计</v>
          </cell>
          <cell r="C143">
            <v>3</v>
          </cell>
        </row>
        <row r="143">
          <cell r="E143">
            <v>61</v>
          </cell>
        </row>
        <row r="144">
          <cell r="B144" t="str">
            <v>芒市</v>
          </cell>
          <cell r="C144" t="str">
            <v>贫困</v>
          </cell>
          <cell r="D144" t="str">
            <v>是</v>
          </cell>
          <cell r="E144">
            <v>8</v>
          </cell>
        </row>
        <row r="145">
          <cell r="B145" t="str">
            <v>梁河县</v>
          </cell>
          <cell r="C145" t="str">
            <v>贫困</v>
          </cell>
        </row>
        <row r="145">
          <cell r="E145">
            <v>4</v>
          </cell>
        </row>
        <row r="146">
          <cell r="B146" t="str">
            <v>盈江县</v>
          </cell>
          <cell r="C146" t="str">
            <v>贫困</v>
          </cell>
          <cell r="D146" t="str">
            <v>是</v>
          </cell>
          <cell r="E146">
            <v>22</v>
          </cell>
        </row>
        <row r="147">
          <cell r="B147" t="str">
            <v>陇川县</v>
          </cell>
          <cell r="C147" t="str">
            <v>贫困</v>
          </cell>
          <cell r="D147" t="str">
            <v>是</v>
          </cell>
          <cell r="E147">
            <v>7</v>
          </cell>
        </row>
        <row r="148">
          <cell r="B148" t="str">
            <v>瑞丽市</v>
          </cell>
          <cell r="C148" t="str">
            <v>非贫困县</v>
          </cell>
          <cell r="D148" t="str">
            <v>是</v>
          </cell>
          <cell r="E148">
            <v>20</v>
          </cell>
        </row>
        <row r="149">
          <cell r="B149" t="str">
            <v>丽江市合计</v>
          </cell>
          <cell r="C149">
            <v>1</v>
          </cell>
        </row>
        <row r="149">
          <cell r="E149">
            <v>23</v>
          </cell>
        </row>
        <row r="150">
          <cell r="B150" t="str">
            <v>丽江市本级</v>
          </cell>
          <cell r="C150">
            <v>2</v>
          </cell>
        </row>
        <row r="151">
          <cell r="B151" t="str">
            <v>县级小计</v>
          </cell>
          <cell r="C151">
            <v>3</v>
          </cell>
        </row>
        <row r="151">
          <cell r="E151">
            <v>23</v>
          </cell>
        </row>
        <row r="152">
          <cell r="B152" t="str">
            <v>古城区</v>
          </cell>
          <cell r="C152" t="str">
            <v>非贫困县</v>
          </cell>
        </row>
        <row r="152">
          <cell r="E152">
            <v>5</v>
          </cell>
        </row>
        <row r="153">
          <cell r="B153" t="str">
            <v>永胜县</v>
          </cell>
          <cell r="C153" t="str">
            <v>贫困</v>
          </cell>
        </row>
        <row r="153">
          <cell r="E153">
            <v>3</v>
          </cell>
        </row>
        <row r="154">
          <cell r="B154" t="str">
            <v>华坪县</v>
          </cell>
          <cell r="C154" t="str">
            <v>非贫困县</v>
          </cell>
        </row>
        <row r="154">
          <cell r="E154">
            <v>5</v>
          </cell>
        </row>
        <row r="155">
          <cell r="B155" t="str">
            <v>宁蒗县</v>
          </cell>
          <cell r="C155" t="str">
            <v>深度贫困</v>
          </cell>
        </row>
        <row r="155">
          <cell r="E155">
            <v>4</v>
          </cell>
        </row>
        <row r="156">
          <cell r="B156" t="str">
            <v>玉龙县</v>
          </cell>
          <cell r="C156" t="str">
            <v>贫困</v>
          </cell>
        </row>
        <row r="156">
          <cell r="E156">
            <v>6</v>
          </cell>
        </row>
        <row r="157">
          <cell r="B157" t="str">
            <v>怒江州合计</v>
          </cell>
          <cell r="C157">
            <v>1</v>
          </cell>
        </row>
        <row r="157">
          <cell r="E157">
            <v>82</v>
          </cell>
        </row>
        <row r="158">
          <cell r="B158" t="str">
            <v>怒江州本级</v>
          </cell>
          <cell r="C158">
            <v>2</v>
          </cell>
        </row>
        <row r="159">
          <cell r="B159" t="str">
            <v>县级小计</v>
          </cell>
          <cell r="C159">
            <v>3</v>
          </cell>
        </row>
        <row r="159">
          <cell r="E159">
            <v>82</v>
          </cell>
        </row>
        <row r="160">
          <cell r="B160" t="str">
            <v>兰坪县</v>
          </cell>
          <cell r="C160" t="str">
            <v>深度贫困</v>
          </cell>
        </row>
        <row r="160">
          <cell r="E160">
            <v>3</v>
          </cell>
        </row>
        <row r="161">
          <cell r="B161" t="str">
            <v>福贡县</v>
          </cell>
          <cell r="C161" t="str">
            <v>深度贫困</v>
          </cell>
          <cell r="D161" t="str">
            <v>是</v>
          </cell>
          <cell r="E161">
            <v>29</v>
          </cell>
        </row>
        <row r="162">
          <cell r="B162" t="str">
            <v>贡山县</v>
          </cell>
          <cell r="C162" t="str">
            <v>深度贫困</v>
          </cell>
          <cell r="D162" t="str">
            <v>是</v>
          </cell>
          <cell r="E162">
            <v>13</v>
          </cell>
        </row>
        <row r="163">
          <cell r="B163" t="str">
            <v>泸水市</v>
          </cell>
          <cell r="C163" t="str">
            <v>深度贫困</v>
          </cell>
          <cell r="D163" t="str">
            <v>是</v>
          </cell>
          <cell r="E163">
            <v>37</v>
          </cell>
        </row>
        <row r="164">
          <cell r="B164" t="str">
            <v>迪庆州合计</v>
          </cell>
          <cell r="C164">
            <v>1</v>
          </cell>
        </row>
        <row r="164">
          <cell r="E164">
            <v>10</v>
          </cell>
        </row>
        <row r="165">
          <cell r="B165" t="str">
            <v>迪庆州本级</v>
          </cell>
          <cell r="C165">
            <v>2</v>
          </cell>
        </row>
        <row r="166">
          <cell r="B166" t="str">
            <v>县级小计</v>
          </cell>
          <cell r="C166">
            <v>3</v>
          </cell>
        </row>
        <row r="166">
          <cell r="E166">
            <v>10</v>
          </cell>
        </row>
        <row r="167">
          <cell r="B167" t="str">
            <v>香格里拉市</v>
          </cell>
          <cell r="C167" t="str">
            <v>深度贫困</v>
          </cell>
        </row>
        <row r="167">
          <cell r="E167">
            <v>4</v>
          </cell>
        </row>
        <row r="168">
          <cell r="B168" t="str">
            <v>维西县</v>
          </cell>
          <cell r="C168" t="str">
            <v>深度贫困</v>
          </cell>
        </row>
        <row r="168">
          <cell r="E168">
            <v>3</v>
          </cell>
        </row>
        <row r="169">
          <cell r="B169" t="str">
            <v>德钦县</v>
          </cell>
          <cell r="C169" t="str">
            <v>深度贫困</v>
          </cell>
        </row>
        <row r="169">
          <cell r="E169">
            <v>3</v>
          </cell>
        </row>
        <row r="170">
          <cell r="B170" t="str">
            <v>临沧市合计</v>
          </cell>
          <cell r="C170">
            <v>1</v>
          </cell>
        </row>
        <row r="170">
          <cell r="E170">
            <v>64</v>
          </cell>
        </row>
        <row r="171">
          <cell r="B171" t="str">
            <v>临沧市本级</v>
          </cell>
          <cell r="C171">
            <v>2</v>
          </cell>
        </row>
        <row r="172">
          <cell r="B172" t="str">
            <v>县级小计</v>
          </cell>
          <cell r="C172">
            <v>3</v>
          </cell>
        </row>
        <row r="172">
          <cell r="E172">
            <v>64</v>
          </cell>
        </row>
        <row r="173">
          <cell r="B173" t="str">
            <v>凤庆县</v>
          </cell>
          <cell r="C173" t="str">
            <v>贫困</v>
          </cell>
        </row>
        <row r="173">
          <cell r="E173">
            <v>5</v>
          </cell>
        </row>
        <row r="174">
          <cell r="B174" t="str">
            <v>云县</v>
          </cell>
          <cell r="C174" t="str">
            <v>贫困</v>
          </cell>
        </row>
        <row r="174">
          <cell r="E174">
            <v>3</v>
          </cell>
        </row>
        <row r="175">
          <cell r="B175" t="str">
            <v>临翔区</v>
          </cell>
          <cell r="C175" t="str">
            <v>贫困</v>
          </cell>
        </row>
        <row r="175">
          <cell r="E175">
            <v>5</v>
          </cell>
        </row>
        <row r="176">
          <cell r="B176" t="str">
            <v>永德县</v>
          </cell>
          <cell r="C176" t="str">
            <v>贫困</v>
          </cell>
        </row>
        <row r="176">
          <cell r="E176">
            <v>2</v>
          </cell>
        </row>
        <row r="177">
          <cell r="B177" t="str">
            <v>镇康县</v>
          </cell>
          <cell r="C177" t="str">
            <v>贫困</v>
          </cell>
          <cell r="D177" t="str">
            <v>是</v>
          </cell>
          <cell r="E177">
            <v>14</v>
          </cell>
        </row>
        <row r="178">
          <cell r="B178" t="str">
            <v>双江县</v>
          </cell>
          <cell r="C178" t="str">
            <v>贫困</v>
          </cell>
        </row>
        <row r="178">
          <cell r="E178">
            <v>5</v>
          </cell>
        </row>
        <row r="179">
          <cell r="B179" t="str">
            <v>耿马县</v>
          </cell>
          <cell r="C179" t="str">
            <v>贫困</v>
          </cell>
          <cell r="D179" t="str">
            <v>是</v>
          </cell>
          <cell r="E179">
            <v>7</v>
          </cell>
        </row>
        <row r="180">
          <cell r="B180" t="str">
            <v>沧源县</v>
          </cell>
          <cell r="C180" t="str">
            <v>贫困</v>
          </cell>
          <cell r="D180" t="str">
            <v>是</v>
          </cell>
          <cell r="E180">
            <v>23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表6资金使用成效（预算执行率）取整"/>
      <sheetName val="表6资金使用成效（预算执行率）原稿"/>
    </sheetNames>
    <sheetDataSet>
      <sheetData sheetId="0"/>
      <sheetData sheetId="1">
        <row r="32">
          <cell r="C32">
            <v>0.78</v>
          </cell>
          <cell r="D32">
            <v>0</v>
          </cell>
          <cell r="E32">
            <v>0</v>
          </cell>
          <cell r="F32">
            <v>0.78</v>
          </cell>
          <cell r="G32">
            <v>3229.5</v>
          </cell>
          <cell r="H32">
            <v>365</v>
          </cell>
          <cell r="I32">
            <v>1361</v>
          </cell>
          <cell r="J32">
            <v>981</v>
          </cell>
          <cell r="K32">
            <v>522.5</v>
          </cell>
        </row>
        <row r="33">
          <cell r="C33">
            <v>207.11</v>
          </cell>
          <cell r="D33">
            <v>0</v>
          </cell>
          <cell r="E33">
            <v>0</v>
          </cell>
          <cell r="F33">
            <v>207.11</v>
          </cell>
          <cell r="G33">
            <v>6290.49</v>
          </cell>
          <cell r="H33">
            <v>4273</v>
          </cell>
          <cell r="I33">
            <v>1040</v>
          </cell>
          <cell r="J33">
            <v>17.33</v>
          </cell>
          <cell r="K33">
            <v>960.16</v>
          </cell>
        </row>
        <row r="34">
          <cell r="C34">
            <v>2832.86</v>
          </cell>
          <cell r="D34">
            <v>0</v>
          </cell>
          <cell r="E34">
            <v>153.09</v>
          </cell>
          <cell r="F34">
            <v>2679.77</v>
          </cell>
          <cell r="G34">
            <v>15443.27</v>
          </cell>
          <cell r="H34">
            <v>5457</v>
          </cell>
          <cell r="I34">
            <v>2178</v>
          </cell>
          <cell r="J34">
            <v>638.27</v>
          </cell>
          <cell r="K34">
            <v>7170</v>
          </cell>
        </row>
        <row r="35">
          <cell r="C35">
            <v>412.73</v>
          </cell>
          <cell r="D35">
            <v>0</v>
          </cell>
          <cell r="E35">
            <v>0</v>
          </cell>
          <cell r="F35">
            <v>412.73</v>
          </cell>
          <cell r="G35">
            <v>6150.9</v>
          </cell>
          <cell r="H35">
            <v>2199</v>
          </cell>
          <cell r="I35">
            <v>1383</v>
          </cell>
          <cell r="J35">
            <v>241</v>
          </cell>
          <cell r="K35">
            <v>2327.9</v>
          </cell>
        </row>
        <row r="36">
          <cell r="C36">
            <v>812.08</v>
          </cell>
          <cell r="D36">
            <v>0</v>
          </cell>
          <cell r="E36">
            <v>28</v>
          </cell>
          <cell r="F36">
            <v>784.08</v>
          </cell>
          <cell r="G36">
            <v>7994</v>
          </cell>
          <cell r="H36">
            <v>5147</v>
          </cell>
          <cell r="I36">
            <v>1877</v>
          </cell>
          <cell r="J36">
            <v>970</v>
          </cell>
          <cell r="K36">
            <v>0</v>
          </cell>
        </row>
        <row r="37">
          <cell r="C37">
            <v>717.22</v>
          </cell>
          <cell r="D37">
            <v>0</v>
          </cell>
          <cell r="E37">
            <v>0</v>
          </cell>
          <cell r="F37">
            <v>717.22</v>
          </cell>
          <cell r="G37">
            <v>7352</v>
          </cell>
          <cell r="H37">
            <v>5169</v>
          </cell>
          <cell r="I37">
            <v>806</v>
          </cell>
          <cell r="J37">
            <v>377</v>
          </cell>
          <cell r="K37">
            <v>1000</v>
          </cell>
        </row>
        <row r="38">
          <cell r="C38">
            <v>513</v>
          </cell>
          <cell r="D38">
            <v>0</v>
          </cell>
          <cell r="E38">
            <v>0</v>
          </cell>
          <cell r="F38">
            <v>513</v>
          </cell>
          <cell r="G38">
            <v>6743</v>
          </cell>
          <cell r="H38">
            <v>5376</v>
          </cell>
          <cell r="I38">
            <v>941</v>
          </cell>
          <cell r="J38">
            <v>426</v>
          </cell>
          <cell r="K38">
            <v>0</v>
          </cell>
        </row>
        <row r="39">
          <cell r="C39">
            <v>827.1</v>
          </cell>
          <cell r="D39">
            <v>0</v>
          </cell>
          <cell r="E39">
            <v>0</v>
          </cell>
          <cell r="F39">
            <v>827.1</v>
          </cell>
          <cell r="G39">
            <v>17602</v>
          </cell>
          <cell r="H39">
            <v>13479</v>
          </cell>
          <cell r="I39">
            <v>2726</v>
          </cell>
          <cell r="J39">
            <v>493</v>
          </cell>
          <cell r="K39">
            <v>904</v>
          </cell>
        </row>
        <row r="40">
          <cell r="C40">
            <v>1597.07</v>
          </cell>
          <cell r="D40">
            <v>0</v>
          </cell>
          <cell r="E40">
            <v>0</v>
          </cell>
          <cell r="F40">
            <v>1597.07</v>
          </cell>
          <cell r="G40">
            <v>16443.07</v>
          </cell>
          <cell r="H40">
            <v>12665</v>
          </cell>
          <cell r="I40">
            <v>3223</v>
          </cell>
          <cell r="J40">
            <v>454</v>
          </cell>
          <cell r="K40">
            <v>101.07</v>
          </cell>
        </row>
        <row r="41">
          <cell r="C41">
            <v>950.9</v>
          </cell>
          <cell r="D41">
            <v>0</v>
          </cell>
          <cell r="E41">
            <v>0</v>
          </cell>
          <cell r="F41">
            <v>950.9</v>
          </cell>
          <cell r="G41">
            <v>9574</v>
          </cell>
          <cell r="H41">
            <v>8107</v>
          </cell>
          <cell r="I41">
            <v>1042</v>
          </cell>
          <cell r="J41">
            <v>425</v>
          </cell>
          <cell r="K41">
            <v>0</v>
          </cell>
        </row>
        <row r="42">
          <cell r="C42">
            <v>953.86</v>
          </cell>
          <cell r="D42">
            <v>0</v>
          </cell>
          <cell r="E42">
            <v>0</v>
          </cell>
          <cell r="F42">
            <v>953.86</v>
          </cell>
          <cell r="G42">
            <v>9593</v>
          </cell>
          <cell r="H42">
            <v>7178</v>
          </cell>
          <cell r="I42">
            <v>1870</v>
          </cell>
          <cell r="J42">
            <v>435</v>
          </cell>
          <cell r="K42">
            <v>110</v>
          </cell>
        </row>
        <row r="43">
          <cell r="C43">
            <v>1881.1</v>
          </cell>
          <cell r="D43">
            <v>0</v>
          </cell>
          <cell r="E43">
            <v>0</v>
          </cell>
          <cell r="F43">
            <v>1881.1</v>
          </cell>
          <cell r="G43">
            <v>14583.95</v>
          </cell>
          <cell r="H43">
            <v>11254</v>
          </cell>
          <cell r="I43">
            <v>2539</v>
          </cell>
          <cell r="J43">
            <v>758</v>
          </cell>
          <cell r="K43">
            <v>32.95</v>
          </cell>
        </row>
        <row r="44">
          <cell r="C44">
            <v>82.19</v>
          </cell>
          <cell r="D44">
            <v>0</v>
          </cell>
          <cell r="E44">
            <v>0</v>
          </cell>
          <cell r="F44">
            <v>82.19</v>
          </cell>
          <cell r="G44">
            <v>6529.11</v>
          </cell>
          <cell r="H44">
            <v>3594</v>
          </cell>
          <cell r="I44">
            <v>2613</v>
          </cell>
          <cell r="J44">
            <v>22.11</v>
          </cell>
          <cell r="K44">
            <v>300</v>
          </cell>
        </row>
        <row r="45">
          <cell r="C45">
            <v>831.42</v>
          </cell>
          <cell r="D45">
            <v>0</v>
          </cell>
          <cell r="E45">
            <v>57</v>
          </cell>
          <cell r="F45">
            <v>774.42</v>
          </cell>
          <cell r="G45">
            <v>8024</v>
          </cell>
          <cell r="H45">
            <v>6449</v>
          </cell>
          <cell r="I45">
            <v>605</v>
          </cell>
          <cell r="J45">
            <v>970</v>
          </cell>
          <cell r="K45">
            <v>0</v>
          </cell>
        </row>
        <row r="46">
          <cell r="C46">
            <v>689.45</v>
          </cell>
          <cell r="D46">
            <v>0</v>
          </cell>
          <cell r="E46">
            <v>0</v>
          </cell>
          <cell r="F46">
            <v>689.45</v>
          </cell>
          <cell r="G46">
            <v>14416</v>
          </cell>
          <cell r="H46">
            <v>11283</v>
          </cell>
          <cell r="I46">
            <v>2694</v>
          </cell>
          <cell r="J46">
            <v>439</v>
          </cell>
          <cell r="K46">
            <v>0</v>
          </cell>
        </row>
        <row r="47">
          <cell r="C47">
            <v>53.06</v>
          </cell>
          <cell r="D47">
            <v>0</v>
          </cell>
          <cell r="E47">
            <v>0</v>
          </cell>
          <cell r="F47">
            <v>53.06</v>
          </cell>
          <cell r="G47">
            <v>8620.17</v>
          </cell>
          <cell r="H47">
            <v>6004</v>
          </cell>
          <cell r="I47">
            <v>1334</v>
          </cell>
          <cell r="J47">
            <v>602</v>
          </cell>
          <cell r="K47">
            <v>680.17</v>
          </cell>
        </row>
        <row r="48">
          <cell r="C48">
            <v>761.38</v>
          </cell>
          <cell r="D48">
            <v>0</v>
          </cell>
          <cell r="E48">
            <v>0</v>
          </cell>
          <cell r="F48">
            <v>761.38</v>
          </cell>
          <cell r="G48">
            <v>11254.6</v>
          </cell>
          <cell r="H48">
            <v>1918.36</v>
          </cell>
          <cell r="I48">
            <v>3415</v>
          </cell>
          <cell r="J48">
            <v>367.93</v>
          </cell>
          <cell r="K48">
            <v>5553.31</v>
          </cell>
        </row>
        <row r="49">
          <cell r="C49">
            <v>654.76</v>
          </cell>
          <cell r="D49">
            <v>0</v>
          </cell>
          <cell r="E49">
            <v>0</v>
          </cell>
          <cell r="F49">
            <v>654.76</v>
          </cell>
          <cell r="G49">
            <v>8931.4</v>
          </cell>
          <cell r="H49">
            <v>4979</v>
          </cell>
          <cell r="I49">
            <v>687</v>
          </cell>
          <cell r="J49">
            <v>602.8</v>
          </cell>
          <cell r="K49">
            <v>2662.6</v>
          </cell>
        </row>
        <row r="50">
          <cell r="C50">
            <v>1249.69</v>
          </cell>
          <cell r="D50">
            <v>0</v>
          </cell>
          <cell r="E50">
            <v>0</v>
          </cell>
          <cell r="F50">
            <v>1249.69</v>
          </cell>
          <cell r="G50">
            <v>16113.55</v>
          </cell>
          <cell r="H50">
            <v>11016.64</v>
          </cell>
          <cell r="I50">
            <v>2619</v>
          </cell>
          <cell r="J50">
            <v>366.69</v>
          </cell>
          <cell r="K50">
            <v>2111.22</v>
          </cell>
        </row>
        <row r="51">
          <cell r="C51">
            <v>907.37</v>
          </cell>
          <cell r="D51">
            <v>0</v>
          </cell>
          <cell r="E51">
            <v>0</v>
          </cell>
          <cell r="F51">
            <v>907.37</v>
          </cell>
          <cell r="G51">
            <v>13186.33</v>
          </cell>
          <cell r="H51">
            <v>9068</v>
          </cell>
          <cell r="I51">
            <v>1753</v>
          </cell>
          <cell r="J51">
            <v>438.77</v>
          </cell>
          <cell r="K51">
            <v>1926.56</v>
          </cell>
        </row>
        <row r="52">
          <cell r="C52">
            <v>1286.51</v>
          </cell>
          <cell r="D52">
            <v>0</v>
          </cell>
          <cell r="E52">
            <v>0</v>
          </cell>
          <cell r="F52">
            <v>1286.51</v>
          </cell>
          <cell r="G52">
            <v>17425.32</v>
          </cell>
          <cell r="H52">
            <v>8978</v>
          </cell>
          <cell r="I52">
            <v>2046</v>
          </cell>
          <cell r="J52">
            <v>1416.11</v>
          </cell>
          <cell r="K52">
            <v>4985.21</v>
          </cell>
        </row>
        <row r="53">
          <cell r="C53">
            <v>1787.65</v>
          </cell>
          <cell r="D53">
            <v>0</v>
          </cell>
          <cell r="E53">
            <v>0</v>
          </cell>
          <cell r="F53">
            <v>1787.65</v>
          </cell>
          <cell r="G53">
            <v>61268</v>
          </cell>
          <cell r="H53">
            <v>42427</v>
          </cell>
          <cell r="I53">
            <v>18841</v>
          </cell>
          <cell r="J53">
            <v>0</v>
          </cell>
          <cell r="K53">
            <v>0</v>
          </cell>
        </row>
        <row r="54">
          <cell r="C54">
            <v>1056.75</v>
          </cell>
          <cell r="D54">
            <v>0</v>
          </cell>
          <cell r="E54">
            <v>0</v>
          </cell>
          <cell r="F54">
            <v>1056.75</v>
          </cell>
          <cell r="G54">
            <v>55193</v>
          </cell>
          <cell r="H54">
            <v>44083</v>
          </cell>
          <cell r="I54">
            <v>11110</v>
          </cell>
          <cell r="J54">
            <v>0</v>
          </cell>
          <cell r="K54">
            <v>0</v>
          </cell>
        </row>
        <row r="55">
          <cell r="C55">
            <v>603.9</v>
          </cell>
          <cell r="D55">
            <v>0</v>
          </cell>
          <cell r="E55">
            <v>0</v>
          </cell>
          <cell r="F55">
            <v>603.9</v>
          </cell>
          <cell r="G55">
            <v>8501.7557</v>
          </cell>
          <cell r="H55">
            <v>5427</v>
          </cell>
          <cell r="I55">
            <v>1612</v>
          </cell>
          <cell r="J55">
            <v>72.61</v>
          </cell>
          <cell r="K55">
            <v>1390.1457</v>
          </cell>
        </row>
        <row r="56">
          <cell r="C56">
            <v>1320.22</v>
          </cell>
          <cell r="D56">
            <v>0</v>
          </cell>
          <cell r="E56">
            <v>0</v>
          </cell>
          <cell r="F56">
            <v>1320.22</v>
          </cell>
          <cell r="G56">
            <v>34520.46</v>
          </cell>
          <cell r="H56">
            <v>26817</v>
          </cell>
          <cell r="I56">
            <v>7703.46</v>
          </cell>
          <cell r="J56">
            <v>0</v>
          </cell>
          <cell r="K56">
            <v>0</v>
          </cell>
        </row>
        <row r="57">
          <cell r="C57">
            <v>2214.91</v>
          </cell>
          <cell r="D57">
            <v>0</v>
          </cell>
          <cell r="E57">
            <v>0</v>
          </cell>
          <cell r="F57">
            <v>2214.91</v>
          </cell>
          <cell r="G57">
            <v>54901</v>
          </cell>
          <cell r="H57">
            <v>47386</v>
          </cell>
          <cell r="I57">
            <v>7515</v>
          </cell>
          <cell r="J57">
            <v>0</v>
          </cell>
          <cell r="K57">
            <v>0</v>
          </cell>
        </row>
        <row r="58">
          <cell r="C58">
            <v>1376.78</v>
          </cell>
          <cell r="D58">
            <v>0</v>
          </cell>
          <cell r="E58">
            <v>0</v>
          </cell>
          <cell r="F58">
            <v>1376.78</v>
          </cell>
          <cell r="G58">
            <v>34120</v>
          </cell>
          <cell r="H58">
            <v>23887</v>
          </cell>
          <cell r="I58">
            <v>10233</v>
          </cell>
          <cell r="J58">
            <v>0</v>
          </cell>
          <cell r="K58">
            <v>0</v>
          </cell>
        </row>
        <row r="59">
          <cell r="C59">
            <v>1478.4</v>
          </cell>
          <cell r="D59">
            <v>0</v>
          </cell>
          <cell r="E59">
            <v>0</v>
          </cell>
          <cell r="F59">
            <v>1478.4</v>
          </cell>
          <cell r="G59">
            <v>28721</v>
          </cell>
          <cell r="H59">
            <v>22603</v>
          </cell>
          <cell r="I59">
            <v>6118</v>
          </cell>
          <cell r="J59">
            <v>0</v>
          </cell>
          <cell r="K59">
            <v>0</v>
          </cell>
        </row>
        <row r="60">
          <cell r="C60">
            <v>2015.97</v>
          </cell>
          <cell r="D60">
            <v>0</v>
          </cell>
          <cell r="E60">
            <v>0</v>
          </cell>
          <cell r="F60">
            <v>2015.97</v>
          </cell>
          <cell r="G60">
            <v>58306</v>
          </cell>
          <cell r="H60">
            <v>49149</v>
          </cell>
          <cell r="I60">
            <v>8997</v>
          </cell>
          <cell r="J60">
            <v>160</v>
          </cell>
          <cell r="K60">
            <v>0</v>
          </cell>
        </row>
        <row r="61">
          <cell r="C61">
            <v>874.59</v>
          </cell>
          <cell r="D61">
            <v>0</v>
          </cell>
          <cell r="E61">
            <v>0</v>
          </cell>
          <cell r="F61">
            <v>874.59</v>
          </cell>
          <cell r="G61">
            <v>11345.27</v>
          </cell>
          <cell r="H61">
            <v>8227</v>
          </cell>
          <cell r="I61">
            <v>2970</v>
          </cell>
          <cell r="J61">
            <v>148.27</v>
          </cell>
          <cell r="K61">
            <v>0</v>
          </cell>
        </row>
        <row r="62">
          <cell r="C62">
            <v>518.55</v>
          </cell>
          <cell r="D62">
            <v>0</v>
          </cell>
          <cell r="E62">
            <v>0</v>
          </cell>
          <cell r="F62">
            <v>518.55</v>
          </cell>
          <cell r="G62">
            <v>6775.69</v>
          </cell>
          <cell r="H62">
            <v>5943</v>
          </cell>
          <cell r="I62">
            <v>761</v>
          </cell>
          <cell r="J62">
            <v>71.69</v>
          </cell>
          <cell r="K62">
            <v>0</v>
          </cell>
        </row>
        <row r="63">
          <cell r="C63">
            <v>1335.31</v>
          </cell>
          <cell r="D63">
            <v>0</v>
          </cell>
          <cell r="E63">
            <v>0</v>
          </cell>
          <cell r="F63">
            <v>1335.31</v>
          </cell>
          <cell r="G63">
            <v>16748.56</v>
          </cell>
          <cell r="H63">
            <v>14834</v>
          </cell>
          <cell r="I63">
            <v>1766</v>
          </cell>
          <cell r="J63">
            <v>148.56</v>
          </cell>
          <cell r="K63">
            <v>0</v>
          </cell>
        </row>
        <row r="64">
          <cell r="C64">
            <v>4805.43</v>
          </cell>
          <cell r="D64">
            <v>0</v>
          </cell>
          <cell r="E64">
            <v>0</v>
          </cell>
          <cell r="F64">
            <v>4805.43</v>
          </cell>
          <cell r="G64">
            <v>108323.47</v>
          </cell>
          <cell r="H64">
            <v>83267</v>
          </cell>
          <cell r="I64">
            <v>21221</v>
          </cell>
          <cell r="J64">
            <v>810.2</v>
          </cell>
          <cell r="K64">
            <v>3025.27</v>
          </cell>
        </row>
        <row r="65">
          <cell r="C65">
            <v>90</v>
          </cell>
          <cell r="D65">
            <v>0</v>
          </cell>
          <cell r="E65">
            <v>0</v>
          </cell>
          <cell r="F65">
            <v>90</v>
          </cell>
          <cell r="G65">
            <v>5813.44</v>
          </cell>
          <cell r="H65">
            <v>3883</v>
          </cell>
          <cell r="I65">
            <v>1210</v>
          </cell>
          <cell r="J65">
            <v>20.44</v>
          </cell>
          <cell r="K65">
            <v>700</v>
          </cell>
        </row>
        <row r="66">
          <cell r="C66">
            <v>2935</v>
          </cell>
          <cell r="D66">
            <v>0</v>
          </cell>
          <cell r="E66">
            <v>0</v>
          </cell>
          <cell r="F66">
            <v>2935</v>
          </cell>
          <cell r="G66">
            <v>45846.21</v>
          </cell>
          <cell r="H66">
            <v>35283</v>
          </cell>
          <cell r="I66">
            <v>5732</v>
          </cell>
          <cell r="J66">
            <v>258.21</v>
          </cell>
          <cell r="K66">
            <v>4573</v>
          </cell>
        </row>
        <row r="67">
          <cell r="C67">
            <v>284.67</v>
          </cell>
          <cell r="D67">
            <v>0</v>
          </cell>
          <cell r="E67">
            <v>0</v>
          </cell>
          <cell r="F67">
            <v>284.67</v>
          </cell>
          <cell r="G67">
            <v>3808.58</v>
          </cell>
          <cell r="H67">
            <v>2135</v>
          </cell>
          <cell r="I67">
            <v>1038</v>
          </cell>
          <cell r="J67">
            <v>33.88</v>
          </cell>
          <cell r="K67">
            <v>601.7</v>
          </cell>
        </row>
        <row r="68">
          <cell r="C68">
            <v>2755.18</v>
          </cell>
          <cell r="D68">
            <v>0</v>
          </cell>
          <cell r="E68">
            <v>0</v>
          </cell>
          <cell r="F68">
            <v>2755.18</v>
          </cell>
          <cell r="G68">
            <v>36633.53</v>
          </cell>
          <cell r="H68">
            <v>23040.24</v>
          </cell>
          <cell r="I68">
            <v>7243.43</v>
          </cell>
          <cell r="J68">
            <v>5758</v>
          </cell>
          <cell r="K68">
            <v>591.86</v>
          </cell>
        </row>
        <row r="69">
          <cell r="C69">
            <v>280.96</v>
          </cell>
          <cell r="D69">
            <v>0</v>
          </cell>
          <cell r="E69">
            <v>0</v>
          </cell>
          <cell r="F69">
            <v>280.96</v>
          </cell>
          <cell r="G69">
            <v>4054.92</v>
          </cell>
          <cell r="H69">
            <v>2428</v>
          </cell>
          <cell r="I69">
            <v>1093</v>
          </cell>
          <cell r="J69">
            <v>33.92</v>
          </cell>
          <cell r="K69">
            <v>500</v>
          </cell>
        </row>
        <row r="70">
          <cell r="C70">
            <v>318.042</v>
          </cell>
          <cell r="D70">
            <v>0</v>
          </cell>
          <cell r="E70">
            <v>0</v>
          </cell>
          <cell r="F70">
            <v>318.042</v>
          </cell>
          <cell r="G70">
            <v>4565.84</v>
          </cell>
          <cell r="H70">
            <v>2763</v>
          </cell>
          <cell r="I70">
            <v>1273</v>
          </cell>
          <cell r="J70">
            <v>29.84</v>
          </cell>
          <cell r="K70">
            <v>500</v>
          </cell>
        </row>
        <row r="71">
          <cell r="C71">
            <v>1411.3</v>
          </cell>
          <cell r="D71">
            <v>0</v>
          </cell>
          <cell r="E71">
            <v>0</v>
          </cell>
          <cell r="F71">
            <v>1411.3</v>
          </cell>
          <cell r="G71">
            <v>4167.04</v>
          </cell>
          <cell r="H71">
            <v>1767</v>
          </cell>
          <cell r="I71">
            <v>881</v>
          </cell>
          <cell r="J71">
            <v>1019.04</v>
          </cell>
          <cell r="K71">
            <v>500</v>
          </cell>
        </row>
        <row r="72">
          <cell r="C72">
            <v>134.19</v>
          </cell>
          <cell r="D72">
            <v>0</v>
          </cell>
          <cell r="E72">
            <v>0</v>
          </cell>
          <cell r="F72">
            <v>134.19</v>
          </cell>
          <cell r="G72">
            <v>3025.17</v>
          </cell>
          <cell r="H72">
            <v>1495</v>
          </cell>
          <cell r="I72">
            <v>1337</v>
          </cell>
          <cell r="J72">
            <v>43.28</v>
          </cell>
          <cell r="K72">
            <v>149.89</v>
          </cell>
        </row>
        <row r="73">
          <cell r="C73">
            <v>343.81</v>
          </cell>
          <cell r="D73">
            <v>0</v>
          </cell>
          <cell r="E73">
            <v>0</v>
          </cell>
          <cell r="F73">
            <v>343.81</v>
          </cell>
          <cell r="G73">
            <v>4791.82</v>
          </cell>
          <cell r="H73">
            <v>1790</v>
          </cell>
          <cell r="I73">
            <v>2393</v>
          </cell>
          <cell r="J73">
            <v>50.88</v>
          </cell>
          <cell r="K73">
            <v>557.94</v>
          </cell>
        </row>
        <row r="74">
          <cell r="C74">
            <v>463.889999999999</v>
          </cell>
          <cell r="D74">
            <v>0</v>
          </cell>
          <cell r="E74">
            <v>0</v>
          </cell>
          <cell r="F74">
            <v>463.889999999999</v>
          </cell>
          <cell r="G74">
            <v>4832.4</v>
          </cell>
          <cell r="H74">
            <v>1703</v>
          </cell>
          <cell r="I74">
            <v>2452</v>
          </cell>
          <cell r="J74">
            <v>77.4</v>
          </cell>
          <cell r="K74">
            <v>600</v>
          </cell>
        </row>
        <row r="75">
          <cell r="C75">
            <v>190.3</v>
          </cell>
          <cell r="D75">
            <v>0</v>
          </cell>
          <cell r="E75">
            <v>0</v>
          </cell>
          <cell r="F75">
            <v>190.3</v>
          </cell>
          <cell r="G75">
            <v>4088.32</v>
          </cell>
          <cell r="H75">
            <v>1539</v>
          </cell>
          <cell r="I75">
            <v>1959</v>
          </cell>
          <cell r="J75">
            <v>90.32</v>
          </cell>
          <cell r="K75">
            <v>500</v>
          </cell>
        </row>
        <row r="76">
          <cell r="C76">
            <v>355.3</v>
          </cell>
          <cell r="D76">
            <v>0</v>
          </cell>
          <cell r="E76">
            <v>0</v>
          </cell>
          <cell r="F76">
            <v>355.3</v>
          </cell>
          <cell r="G76">
            <v>4788.88</v>
          </cell>
          <cell r="H76">
            <v>1785</v>
          </cell>
          <cell r="I76">
            <v>2921</v>
          </cell>
          <cell r="J76">
            <v>82.88</v>
          </cell>
          <cell r="K76">
            <v>0</v>
          </cell>
        </row>
        <row r="77">
          <cell r="C77">
            <v>885.8</v>
          </cell>
          <cell r="D77">
            <v>0</v>
          </cell>
          <cell r="E77">
            <v>0</v>
          </cell>
          <cell r="F77">
            <v>885.8</v>
          </cell>
          <cell r="G77">
            <v>15130.406</v>
          </cell>
          <cell r="H77">
            <v>10431.95</v>
          </cell>
          <cell r="I77">
            <v>1691</v>
          </cell>
          <cell r="J77">
            <v>3007.456</v>
          </cell>
          <cell r="K77">
            <v>0</v>
          </cell>
        </row>
        <row r="78">
          <cell r="C78">
            <v>1385.06</v>
          </cell>
          <cell r="D78">
            <v>0</v>
          </cell>
          <cell r="E78">
            <v>0</v>
          </cell>
          <cell r="F78">
            <v>1385.06</v>
          </cell>
          <cell r="G78">
            <v>24889.861137</v>
          </cell>
          <cell r="H78">
            <v>16927.81</v>
          </cell>
          <cell r="I78">
            <v>3315</v>
          </cell>
          <cell r="J78">
            <v>636.85</v>
          </cell>
          <cell r="K78">
            <v>4010.201137</v>
          </cell>
        </row>
        <row r="79">
          <cell r="C79">
            <v>208.97</v>
          </cell>
          <cell r="D79">
            <v>0</v>
          </cell>
          <cell r="E79">
            <v>0</v>
          </cell>
          <cell r="F79">
            <v>208.97</v>
          </cell>
          <cell r="G79">
            <v>2850</v>
          </cell>
          <cell r="H79">
            <v>958</v>
          </cell>
          <cell r="I79">
            <v>198</v>
          </cell>
          <cell r="J79">
            <v>1194</v>
          </cell>
          <cell r="K79">
            <v>500</v>
          </cell>
        </row>
        <row r="80">
          <cell r="C80">
            <v>668.09</v>
          </cell>
          <cell r="D80">
            <v>0</v>
          </cell>
          <cell r="E80">
            <v>0</v>
          </cell>
          <cell r="F80">
            <v>668.09</v>
          </cell>
          <cell r="G80">
            <v>12317.944</v>
          </cell>
          <cell r="H80">
            <v>7986</v>
          </cell>
          <cell r="I80">
            <v>3057</v>
          </cell>
          <cell r="J80">
            <v>692.364</v>
          </cell>
          <cell r="K80">
            <v>582.58</v>
          </cell>
        </row>
        <row r="81">
          <cell r="C81">
            <v>1218.24</v>
          </cell>
          <cell r="D81">
            <v>0</v>
          </cell>
          <cell r="E81">
            <v>510.57</v>
          </cell>
          <cell r="F81">
            <v>707.67</v>
          </cell>
          <cell r="G81">
            <v>20416.09</v>
          </cell>
          <cell r="H81">
            <v>7369.64</v>
          </cell>
          <cell r="I81">
            <v>2875</v>
          </cell>
          <cell r="J81">
            <v>521.01</v>
          </cell>
          <cell r="K81">
            <v>9650.44</v>
          </cell>
        </row>
        <row r="82">
          <cell r="C82">
            <v>782.21</v>
          </cell>
          <cell r="D82">
            <v>0</v>
          </cell>
          <cell r="E82">
            <v>0</v>
          </cell>
          <cell r="F82">
            <v>782.21</v>
          </cell>
          <cell r="G82">
            <v>14422.92</v>
          </cell>
          <cell r="H82">
            <v>9453.6</v>
          </cell>
          <cell r="I82">
            <v>2802</v>
          </cell>
          <cell r="J82">
            <v>527.32</v>
          </cell>
          <cell r="K82">
            <v>1640</v>
          </cell>
        </row>
        <row r="83">
          <cell r="C83">
            <v>1129.21</v>
          </cell>
          <cell r="D83">
            <v>0</v>
          </cell>
          <cell r="E83">
            <v>0</v>
          </cell>
          <cell r="F83">
            <v>1129.21</v>
          </cell>
          <cell r="G83">
            <v>49928.04</v>
          </cell>
          <cell r="H83">
            <v>42607.82</v>
          </cell>
          <cell r="I83">
            <v>5159</v>
          </cell>
          <cell r="J83">
            <v>0</v>
          </cell>
          <cell r="K83">
            <v>2161.22</v>
          </cell>
        </row>
        <row r="84">
          <cell r="C84">
            <v>2726.52</v>
          </cell>
          <cell r="D84">
            <v>0</v>
          </cell>
          <cell r="E84">
            <v>0</v>
          </cell>
          <cell r="F84">
            <v>2726.52</v>
          </cell>
          <cell r="G84">
            <v>32732.93</v>
          </cell>
          <cell r="H84">
            <v>28304.93</v>
          </cell>
          <cell r="I84">
            <v>4428</v>
          </cell>
          <cell r="J84">
            <v>0</v>
          </cell>
          <cell r="K84">
            <v>0</v>
          </cell>
        </row>
        <row r="85">
          <cell r="C85">
            <v>374.59</v>
          </cell>
          <cell r="D85">
            <v>0</v>
          </cell>
          <cell r="E85">
            <v>0</v>
          </cell>
          <cell r="F85">
            <v>374.59</v>
          </cell>
          <cell r="G85">
            <v>34813.76</v>
          </cell>
          <cell r="H85">
            <v>28846.33</v>
          </cell>
          <cell r="I85">
            <v>5844</v>
          </cell>
          <cell r="J85">
            <v>0</v>
          </cell>
          <cell r="K85">
            <v>123.43</v>
          </cell>
        </row>
        <row r="86">
          <cell r="C86">
            <v>2037.794373</v>
          </cell>
          <cell r="D86">
            <v>0</v>
          </cell>
          <cell r="E86">
            <v>0</v>
          </cell>
          <cell r="F86">
            <v>2037.794373</v>
          </cell>
          <cell r="G86">
            <v>28584.7</v>
          </cell>
          <cell r="H86">
            <v>24821.7</v>
          </cell>
          <cell r="I86">
            <v>3763</v>
          </cell>
          <cell r="J86">
            <v>0</v>
          </cell>
          <cell r="K86">
            <v>0</v>
          </cell>
        </row>
        <row r="87">
          <cell r="C87">
            <v>1306.86</v>
          </cell>
          <cell r="D87">
            <v>0</v>
          </cell>
          <cell r="E87">
            <v>0</v>
          </cell>
          <cell r="F87">
            <v>1306.86</v>
          </cell>
          <cell r="G87">
            <v>34330.24</v>
          </cell>
          <cell r="H87">
            <v>24719.24</v>
          </cell>
          <cell r="I87">
            <v>5464</v>
          </cell>
          <cell r="J87">
            <v>0</v>
          </cell>
          <cell r="K87">
            <v>4147</v>
          </cell>
        </row>
        <row r="88">
          <cell r="C88">
            <v>2124.490975</v>
          </cell>
          <cell r="D88">
            <v>0</v>
          </cell>
          <cell r="E88">
            <v>0</v>
          </cell>
          <cell r="F88">
            <v>2124.490975</v>
          </cell>
          <cell r="G88">
            <v>42257.87</v>
          </cell>
          <cell r="H88">
            <v>33651.3</v>
          </cell>
          <cell r="I88">
            <v>5582</v>
          </cell>
          <cell r="J88">
            <v>0</v>
          </cell>
          <cell r="K88">
            <v>3024.57</v>
          </cell>
        </row>
        <row r="89">
          <cell r="C89">
            <v>776.14</v>
          </cell>
          <cell r="D89">
            <v>0</v>
          </cell>
          <cell r="E89">
            <v>0</v>
          </cell>
          <cell r="F89">
            <v>776.14</v>
          </cell>
          <cell r="G89">
            <v>19934.93</v>
          </cell>
          <cell r="H89">
            <v>14311.5</v>
          </cell>
          <cell r="I89">
            <v>5429</v>
          </cell>
          <cell r="J89">
            <v>0</v>
          </cell>
          <cell r="K89">
            <v>194.43</v>
          </cell>
        </row>
        <row r="90">
          <cell r="C90">
            <v>192.91</v>
          </cell>
          <cell r="D90">
            <v>0</v>
          </cell>
          <cell r="E90">
            <v>0</v>
          </cell>
          <cell r="F90">
            <v>192.91</v>
          </cell>
          <cell r="G90">
            <v>3573</v>
          </cell>
          <cell r="H90">
            <v>1262</v>
          </cell>
          <cell r="I90">
            <v>508</v>
          </cell>
          <cell r="J90">
            <v>1803</v>
          </cell>
          <cell r="K90">
            <v>0</v>
          </cell>
        </row>
        <row r="91">
          <cell r="C91">
            <v>6889.320928</v>
          </cell>
          <cell r="D91">
            <v>0</v>
          </cell>
          <cell r="E91">
            <v>0</v>
          </cell>
          <cell r="F91">
            <v>6889.320928</v>
          </cell>
          <cell r="G91">
            <v>139357.33</v>
          </cell>
          <cell r="H91">
            <v>103172</v>
          </cell>
          <cell r="I91">
            <v>35185.33</v>
          </cell>
          <cell r="J91">
            <v>0</v>
          </cell>
          <cell r="K91">
            <v>1000</v>
          </cell>
        </row>
        <row r="92">
          <cell r="C92">
            <v>2458.674768</v>
          </cell>
          <cell r="D92">
            <v>0</v>
          </cell>
          <cell r="E92">
            <v>0</v>
          </cell>
          <cell r="F92">
            <v>2458.674768</v>
          </cell>
          <cell r="G92">
            <v>51517.8</v>
          </cell>
          <cell r="H92">
            <v>45504.8</v>
          </cell>
          <cell r="I92">
            <v>6013</v>
          </cell>
          <cell r="J92">
            <v>0</v>
          </cell>
          <cell r="K92">
            <v>0</v>
          </cell>
        </row>
        <row r="93">
          <cell r="C93">
            <v>884.89</v>
          </cell>
          <cell r="D93">
            <v>0</v>
          </cell>
          <cell r="E93">
            <v>0</v>
          </cell>
          <cell r="F93">
            <v>884.89</v>
          </cell>
          <cell r="G93">
            <v>17446.38</v>
          </cell>
          <cell r="H93">
            <v>15516.38</v>
          </cell>
          <cell r="I93">
            <v>1930</v>
          </cell>
          <cell r="J93">
            <v>0</v>
          </cell>
          <cell r="K93">
            <v>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7133</v>
          </cell>
          <cell r="H94">
            <v>3515</v>
          </cell>
          <cell r="I94">
            <v>3490</v>
          </cell>
          <cell r="J94">
            <v>0</v>
          </cell>
          <cell r="K94">
            <v>128</v>
          </cell>
        </row>
        <row r="95">
          <cell r="C95">
            <v>125.26</v>
          </cell>
          <cell r="D95">
            <v>0</v>
          </cell>
          <cell r="E95">
            <v>0</v>
          </cell>
          <cell r="F95">
            <v>125.26</v>
          </cell>
          <cell r="G95">
            <v>4613.06</v>
          </cell>
          <cell r="H95">
            <v>3044</v>
          </cell>
          <cell r="I95">
            <v>695</v>
          </cell>
          <cell r="J95">
            <v>300</v>
          </cell>
          <cell r="K95">
            <v>574.06</v>
          </cell>
        </row>
        <row r="96">
          <cell r="C96">
            <v>218.6</v>
          </cell>
          <cell r="D96">
            <v>0</v>
          </cell>
          <cell r="E96">
            <v>0</v>
          </cell>
          <cell r="F96">
            <v>218.6</v>
          </cell>
          <cell r="G96">
            <v>7213.26</v>
          </cell>
          <cell r="H96">
            <v>4425</v>
          </cell>
          <cell r="I96">
            <v>1062</v>
          </cell>
          <cell r="J96">
            <v>800</v>
          </cell>
          <cell r="K96">
            <v>926.26</v>
          </cell>
        </row>
        <row r="97">
          <cell r="C97">
            <v>805.25</v>
          </cell>
          <cell r="D97">
            <v>0</v>
          </cell>
          <cell r="E97">
            <v>0</v>
          </cell>
          <cell r="F97">
            <v>805.25</v>
          </cell>
          <cell r="G97">
            <v>15359.3</v>
          </cell>
          <cell r="H97">
            <v>11322</v>
          </cell>
          <cell r="I97">
            <v>1910</v>
          </cell>
          <cell r="J97">
            <v>1800</v>
          </cell>
          <cell r="K97">
            <v>327.3</v>
          </cell>
        </row>
        <row r="98">
          <cell r="C98">
            <v>418.77</v>
          </cell>
          <cell r="D98">
            <v>0</v>
          </cell>
          <cell r="E98">
            <v>0</v>
          </cell>
          <cell r="F98">
            <v>418.77</v>
          </cell>
          <cell r="G98">
            <v>5997</v>
          </cell>
          <cell r="H98">
            <v>2181</v>
          </cell>
          <cell r="I98">
            <v>2526</v>
          </cell>
          <cell r="J98">
            <v>900</v>
          </cell>
          <cell r="K98">
            <v>390</v>
          </cell>
        </row>
        <row r="99">
          <cell r="C99">
            <v>4060.05</v>
          </cell>
          <cell r="D99">
            <v>0</v>
          </cell>
          <cell r="E99">
            <v>0</v>
          </cell>
          <cell r="F99">
            <v>4060.05</v>
          </cell>
          <cell r="G99">
            <v>27422</v>
          </cell>
          <cell r="H99">
            <v>21690</v>
          </cell>
          <cell r="I99">
            <v>3032</v>
          </cell>
          <cell r="J99">
            <v>2700</v>
          </cell>
          <cell r="K99">
            <v>0</v>
          </cell>
        </row>
        <row r="100">
          <cell r="C100">
            <v>463.49</v>
          </cell>
          <cell r="D100">
            <v>0</v>
          </cell>
          <cell r="E100">
            <v>0</v>
          </cell>
          <cell r="F100">
            <v>463.49</v>
          </cell>
          <cell r="G100">
            <v>6193.75</v>
          </cell>
          <cell r="H100">
            <v>3083.84</v>
          </cell>
          <cell r="I100">
            <v>2865</v>
          </cell>
          <cell r="J100">
            <v>100</v>
          </cell>
          <cell r="K100">
            <v>144.91</v>
          </cell>
        </row>
        <row r="101">
          <cell r="C101">
            <v>14</v>
          </cell>
          <cell r="D101">
            <v>0</v>
          </cell>
          <cell r="E101">
            <v>0</v>
          </cell>
          <cell r="F101">
            <v>14</v>
          </cell>
          <cell r="G101">
            <v>2964</v>
          </cell>
          <cell r="H101">
            <v>926</v>
          </cell>
          <cell r="I101">
            <v>192</v>
          </cell>
          <cell r="J101">
            <v>1846</v>
          </cell>
          <cell r="K101">
            <v>0</v>
          </cell>
        </row>
        <row r="102">
          <cell r="C102">
            <v>280.41</v>
          </cell>
          <cell r="D102">
            <v>0</v>
          </cell>
          <cell r="E102">
            <v>0</v>
          </cell>
          <cell r="F102">
            <v>280.41</v>
          </cell>
          <cell r="G102">
            <v>5271.5</v>
          </cell>
          <cell r="H102">
            <v>4173</v>
          </cell>
          <cell r="I102">
            <v>882</v>
          </cell>
          <cell r="J102">
            <v>100</v>
          </cell>
          <cell r="K102">
            <v>116.5</v>
          </cell>
        </row>
        <row r="103">
          <cell r="C103">
            <v>1419.5</v>
          </cell>
          <cell r="D103">
            <v>0</v>
          </cell>
          <cell r="E103">
            <v>0</v>
          </cell>
          <cell r="F103">
            <v>1419.5</v>
          </cell>
          <cell r="G103">
            <v>21641.87</v>
          </cell>
          <cell r="H103">
            <v>15587</v>
          </cell>
          <cell r="I103">
            <v>3574</v>
          </cell>
          <cell r="J103">
            <v>640</v>
          </cell>
          <cell r="K103">
            <v>1840.87</v>
          </cell>
        </row>
        <row r="104">
          <cell r="C104">
            <v>3823.39</v>
          </cell>
          <cell r="D104">
            <v>0</v>
          </cell>
          <cell r="E104">
            <v>0</v>
          </cell>
          <cell r="F104">
            <v>3823.39</v>
          </cell>
          <cell r="G104">
            <v>13710.75</v>
          </cell>
          <cell r="H104">
            <v>10145.6</v>
          </cell>
          <cell r="I104">
            <v>2116</v>
          </cell>
          <cell r="J104">
            <v>100</v>
          </cell>
          <cell r="K104">
            <v>1349.15</v>
          </cell>
        </row>
        <row r="105">
          <cell r="C105">
            <v>2231.85</v>
          </cell>
          <cell r="D105">
            <v>0</v>
          </cell>
          <cell r="E105">
            <v>0</v>
          </cell>
          <cell r="F105">
            <v>2231.85</v>
          </cell>
          <cell r="G105">
            <v>28293</v>
          </cell>
          <cell r="H105">
            <v>6511</v>
          </cell>
          <cell r="I105">
            <v>2695</v>
          </cell>
          <cell r="J105">
            <v>0</v>
          </cell>
          <cell r="K105">
            <v>19087</v>
          </cell>
        </row>
        <row r="106">
          <cell r="C106">
            <v>593</v>
          </cell>
          <cell r="D106">
            <v>0</v>
          </cell>
          <cell r="E106">
            <v>0</v>
          </cell>
          <cell r="F106">
            <v>593</v>
          </cell>
          <cell r="G106">
            <v>15383.05</v>
          </cell>
          <cell r="H106">
            <v>5121</v>
          </cell>
          <cell r="I106">
            <v>2475</v>
          </cell>
          <cell r="J106">
            <v>100</v>
          </cell>
          <cell r="K106">
            <v>7687.05</v>
          </cell>
        </row>
        <row r="107">
          <cell r="C107">
            <v>1242.03</v>
          </cell>
          <cell r="D107">
            <v>0</v>
          </cell>
          <cell r="E107">
            <v>0</v>
          </cell>
          <cell r="F107">
            <v>1242.03</v>
          </cell>
          <cell r="G107">
            <v>23640.14</v>
          </cell>
          <cell r="H107">
            <v>11043.18</v>
          </cell>
          <cell r="I107">
            <v>5334</v>
          </cell>
          <cell r="J107">
            <v>400</v>
          </cell>
          <cell r="K107">
            <v>6862.96</v>
          </cell>
        </row>
        <row r="108">
          <cell r="C108">
            <v>788.05</v>
          </cell>
          <cell r="D108">
            <v>0</v>
          </cell>
          <cell r="E108">
            <v>0</v>
          </cell>
          <cell r="F108">
            <v>788.05</v>
          </cell>
          <cell r="G108">
            <v>17163.47</v>
          </cell>
          <cell r="H108">
            <v>8369</v>
          </cell>
          <cell r="I108">
            <v>3837</v>
          </cell>
          <cell r="J108">
            <v>941.5</v>
          </cell>
          <cell r="K108">
            <v>4015.97</v>
          </cell>
        </row>
        <row r="109">
          <cell r="C109">
            <v>2927.5</v>
          </cell>
          <cell r="D109">
            <v>0</v>
          </cell>
          <cell r="E109">
            <v>0</v>
          </cell>
          <cell r="F109">
            <v>2927.5</v>
          </cell>
          <cell r="G109">
            <v>44501.38</v>
          </cell>
          <cell r="H109">
            <v>32809.38</v>
          </cell>
          <cell r="I109">
            <v>6592</v>
          </cell>
          <cell r="J109">
            <v>1900</v>
          </cell>
          <cell r="K109">
            <v>3200</v>
          </cell>
        </row>
        <row r="110">
          <cell r="C110">
            <v>294.67</v>
          </cell>
          <cell r="D110">
            <v>0</v>
          </cell>
          <cell r="E110">
            <v>0</v>
          </cell>
          <cell r="F110">
            <v>294.67</v>
          </cell>
          <cell r="G110">
            <v>16743.9</v>
          </cell>
          <cell r="H110">
            <v>9618</v>
          </cell>
          <cell r="I110">
            <v>5088</v>
          </cell>
          <cell r="J110">
            <v>993.83</v>
          </cell>
          <cell r="K110">
            <v>1044.07</v>
          </cell>
        </row>
        <row r="111"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9267</v>
          </cell>
          <cell r="H111">
            <v>5275</v>
          </cell>
          <cell r="I111">
            <v>2582</v>
          </cell>
          <cell r="J111">
            <v>420</v>
          </cell>
          <cell r="K111">
            <v>990</v>
          </cell>
        </row>
        <row r="112">
          <cell r="C112">
            <v>134.38</v>
          </cell>
          <cell r="D112">
            <v>0</v>
          </cell>
          <cell r="E112">
            <v>0</v>
          </cell>
          <cell r="F112">
            <v>134.38</v>
          </cell>
          <cell r="G112">
            <v>3847.67</v>
          </cell>
          <cell r="H112">
            <v>1391</v>
          </cell>
          <cell r="I112">
            <v>346</v>
          </cell>
          <cell r="J112">
            <v>2089</v>
          </cell>
          <cell r="K112">
            <v>21.67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23400.11</v>
          </cell>
          <cell r="H113">
            <v>12387</v>
          </cell>
          <cell r="I113">
            <v>2669</v>
          </cell>
          <cell r="J113">
            <v>3259.08</v>
          </cell>
          <cell r="K113">
            <v>5085.03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8536.33</v>
          </cell>
          <cell r="H114">
            <v>6866</v>
          </cell>
          <cell r="I114">
            <v>1143</v>
          </cell>
          <cell r="J114">
            <v>20</v>
          </cell>
          <cell r="K114">
            <v>507.33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13518</v>
          </cell>
          <cell r="H115">
            <v>9514</v>
          </cell>
          <cell r="I115">
            <v>1704</v>
          </cell>
          <cell r="J115">
            <v>2300</v>
          </cell>
          <cell r="K115">
            <v>0</v>
          </cell>
        </row>
        <row r="116">
          <cell r="C116">
            <v>200</v>
          </cell>
          <cell r="D116">
            <v>0</v>
          </cell>
          <cell r="E116">
            <v>0</v>
          </cell>
          <cell r="F116">
            <v>200</v>
          </cell>
          <cell r="G116">
            <v>11666</v>
          </cell>
          <cell r="H116">
            <v>6478</v>
          </cell>
          <cell r="I116">
            <v>2918</v>
          </cell>
          <cell r="J116">
            <v>2270</v>
          </cell>
          <cell r="K116">
            <v>0</v>
          </cell>
        </row>
        <row r="117">
          <cell r="C117">
            <v>223.29</v>
          </cell>
          <cell r="D117">
            <v>0</v>
          </cell>
          <cell r="E117">
            <v>0</v>
          </cell>
          <cell r="F117">
            <v>223.29</v>
          </cell>
          <cell r="G117">
            <v>7729</v>
          </cell>
          <cell r="H117">
            <v>5097</v>
          </cell>
          <cell r="I117">
            <v>2242</v>
          </cell>
          <cell r="J117">
            <v>180</v>
          </cell>
          <cell r="K117">
            <v>210</v>
          </cell>
        </row>
        <row r="118">
          <cell r="C118">
            <v>651.46</v>
          </cell>
          <cell r="D118">
            <v>0</v>
          </cell>
          <cell r="E118">
            <v>0</v>
          </cell>
          <cell r="F118">
            <v>651.46</v>
          </cell>
          <cell r="G118">
            <v>8941</v>
          </cell>
          <cell r="H118">
            <v>6519</v>
          </cell>
          <cell r="I118">
            <v>2002</v>
          </cell>
          <cell r="J118">
            <v>420</v>
          </cell>
          <cell r="K118">
            <v>0</v>
          </cell>
        </row>
        <row r="119">
          <cell r="C119">
            <v>774.72</v>
          </cell>
          <cell r="D119">
            <v>0</v>
          </cell>
          <cell r="E119">
            <v>0</v>
          </cell>
          <cell r="F119">
            <v>774.72</v>
          </cell>
          <cell r="G119">
            <v>12912</v>
          </cell>
          <cell r="H119">
            <v>8973</v>
          </cell>
          <cell r="I119">
            <v>3919</v>
          </cell>
          <cell r="J119">
            <v>20</v>
          </cell>
          <cell r="K119">
            <v>0</v>
          </cell>
        </row>
        <row r="120">
          <cell r="C120">
            <v>147.5</v>
          </cell>
          <cell r="D120">
            <v>0</v>
          </cell>
          <cell r="E120">
            <v>0</v>
          </cell>
          <cell r="F120">
            <v>147.5</v>
          </cell>
          <cell r="G120">
            <v>7357.95</v>
          </cell>
          <cell r="H120">
            <v>1851</v>
          </cell>
          <cell r="I120">
            <v>2912</v>
          </cell>
          <cell r="J120">
            <v>930.5</v>
          </cell>
          <cell r="K120">
            <v>1664.45</v>
          </cell>
        </row>
        <row r="121">
          <cell r="C121">
            <v>448</v>
          </cell>
          <cell r="D121">
            <v>0</v>
          </cell>
          <cell r="E121">
            <v>0</v>
          </cell>
          <cell r="F121">
            <v>448</v>
          </cell>
          <cell r="G121">
            <v>9170</v>
          </cell>
          <cell r="H121">
            <v>6114</v>
          </cell>
          <cell r="I121">
            <v>2365</v>
          </cell>
          <cell r="J121">
            <v>691</v>
          </cell>
          <cell r="K121">
            <v>0</v>
          </cell>
        </row>
        <row r="122">
          <cell r="C122">
            <v>417.05</v>
          </cell>
          <cell r="D122">
            <v>0</v>
          </cell>
          <cell r="E122">
            <v>0</v>
          </cell>
          <cell r="F122">
            <v>417.05</v>
          </cell>
          <cell r="G122">
            <v>5927.05</v>
          </cell>
          <cell r="H122">
            <v>4736</v>
          </cell>
          <cell r="I122">
            <v>738</v>
          </cell>
          <cell r="J122">
            <v>453.05</v>
          </cell>
          <cell r="K122">
            <v>0</v>
          </cell>
        </row>
        <row r="123">
          <cell r="C123">
            <v>128.51</v>
          </cell>
          <cell r="D123">
            <v>0</v>
          </cell>
          <cell r="E123">
            <v>0</v>
          </cell>
          <cell r="F123">
            <v>128.51</v>
          </cell>
          <cell r="G123">
            <v>4283.6</v>
          </cell>
          <cell r="H123">
            <v>1308</v>
          </cell>
          <cell r="I123">
            <v>622</v>
          </cell>
          <cell r="J123">
            <v>1965</v>
          </cell>
          <cell r="K123">
            <v>388.6</v>
          </cell>
        </row>
        <row r="124"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7388.9</v>
          </cell>
          <cell r="H124">
            <v>5261</v>
          </cell>
          <cell r="I124">
            <v>1392</v>
          </cell>
          <cell r="J124">
            <v>735.9</v>
          </cell>
          <cell r="K124">
            <v>0</v>
          </cell>
        </row>
        <row r="125">
          <cell r="C125">
            <v>566</v>
          </cell>
          <cell r="D125">
            <v>0</v>
          </cell>
          <cell r="E125">
            <v>0</v>
          </cell>
          <cell r="F125">
            <v>566</v>
          </cell>
          <cell r="G125">
            <v>8590.63</v>
          </cell>
          <cell r="H125">
            <v>5037.78</v>
          </cell>
          <cell r="I125">
            <v>1500</v>
          </cell>
          <cell r="J125">
            <v>468</v>
          </cell>
          <cell r="K125">
            <v>1584.85</v>
          </cell>
        </row>
        <row r="126">
          <cell r="C126">
            <v>444</v>
          </cell>
          <cell r="D126">
            <v>0</v>
          </cell>
          <cell r="E126">
            <v>0</v>
          </cell>
          <cell r="F126">
            <v>444</v>
          </cell>
          <cell r="G126">
            <v>9116</v>
          </cell>
          <cell r="H126">
            <v>6655</v>
          </cell>
          <cell r="I126">
            <v>1660</v>
          </cell>
          <cell r="J126">
            <v>801</v>
          </cell>
          <cell r="K126">
            <v>0</v>
          </cell>
        </row>
        <row r="127">
          <cell r="C127">
            <v>358.1</v>
          </cell>
          <cell r="D127">
            <v>0</v>
          </cell>
          <cell r="E127">
            <v>0</v>
          </cell>
          <cell r="F127">
            <v>358.1</v>
          </cell>
          <cell r="G127">
            <v>11271</v>
          </cell>
          <cell r="H127">
            <v>6005</v>
          </cell>
          <cell r="I127">
            <v>3344</v>
          </cell>
          <cell r="J127">
            <v>422</v>
          </cell>
          <cell r="K127">
            <v>1500</v>
          </cell>
        </row>
        <row r="128">
          <cell r="C128">
            <v>259.59</v>
          </cell>
          <cell r="D128">
            <v>0</v>
          </cell>
          <cell r="E128">
            <v>0</v>
          </cell>
          <cell r="F128">
            <v>259.59</v>
          </cell>
          <cell r="G128">
            <v>7779.04</v>
          </cell>
          <cell r="H128">
            <v>4417.96</v>
          </cell>
          <cell r="I128">
            <v>2446</v>
          </cell>
          <cell r="J128">
            <v>745.4</v>
          </cell>
          <cell r="K128">
            <v>169.68</v>
          </cell>
        </row>
        <row r="129">
          <cell r="C129">
            <v>2111.0641191</v>
          </cell>
          <cell r="D129">
            <v>0</v>
          </cell>
          <cell r="E129">
            <v>0</v>
          </cell>
          <cell r="F129">
            <v>2111.0641191</v>
          </cell>
          <cell r="G129">
            <v>26624.35</v>
          </cell>
          <cell r="H129">
            <v>19255.33</v>
          </cell>
          <cell r="I129">
            <v>5812</v>
          </cell>
          <cell r="J129">
            <v>1454</v>
          </cell>
          <cell r="K129">
            <v>103.02</v>
          </cell>
        </row>
        <row r="130">
          <cell r="C130">
            <v>327.01</v>
          </cell>
          <cell r="D130">
            <v>0</v>
          </cell>
          <cell r="E130">
            <v>0</v>
          </cell>
          <cell r="F130">
            <v>327.01</v>
          </cell>
          <cell r="G130">
            <v>6894.73</v>
          </cell>
          <cell r="H130">
            <v>3730.93</v>
          </cell>
          <cell r="I130">
            <v>1686</v>
          </cell>
          <cell r="J130">
            <v>1177.8</v>
          </cell>
          <cell r="K130">
            <v>300</v>
          </cell>
        </row>
        <row r="131">
          <cell r="C131">
            <v>82.18</v>
          </cell>
          <cell r="D131">
            <v>0</v>
          </cell>
          <cell r="E131">
            <v>0</v>
          </cell>
          <cell r="F131">
            <v>82.18</v>
          </cell>
          <cell r="G131">
            <v>6207.65</v>
          </cell>
          <cell r="H131">
            <v>3603.62</v>
          </cell>
          <cell r="I131">
            <v>1582</v>
          </cell>
          <cell r="J131">
            <v>689.98</v>
          </cell>
          <cell r="K131">
            <v>332.05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10654.93</v>
          </cell>
          <cell r="H132">
            <v>4211</v>
          </cell>
          <cell r="I132">
            <v>3190</v>
          </cell>
          <cell r="J132">
            <v>750</v>
          </cell>
          <cell r="K132">
            <v>2503.93</v>
          </cell>
        </row>
        <row r="133">
          <cell r="C133">
            <v>144.12</v>
          </cell>
          <cell r="D133">
            <v>0</v>
          </cell>
          <cell r="E133">
            <v>0</v>
          </cell>
          <cell r="F133">
            <v>144.12</v>
          </cell>
          <cell r="G133">
            <v>15155.67</v>
          </cell>
          <cell r="H133">
            <v>8117.08</v>
          </cell>
          <cell r="I133">
            <v>4445</v>
          </cell>
          <cell r="J133">
            <v>1850</v>
          </cell>
          <cell r="K133">
            <v>743.59</v>
          </cell>
        </row>
        <row r="134">
          <cell r="C134">
            <v>2850.16</v>
          </cell>
          <cell r="D134">
            <v>0</v>
          </cell>
          <cell r="E134">
            <v>0</v>
          </cell>
          <cell r="F134">
            <v>2850.16</v>
          </cell>
          <cell r="G134">
            <v>19894</v>
          </cell>
          <cell r="H134">
            <v>14063</v>
          </cell>
          <cell r="I134">
            <v>846</v>
          </cell>
          <cell r="J134">
            <v>4985</v>
          </cell>
          <cell r="K134">
            <v>0</v>
          </cell>
        </row>
        <row r="135">
          <cell r="C135">
            <v>3312.54</v>
          </cell>
          <cell r="D135">
            <v>0</v>
          </cell>
          <cell r="E135">
            <v>0</v>
          </cell>
          <cell r="F135">
            <v>3312.54</v>
          </cell>
          <cell r="G135">
            <v>27150.79</v>
          </cell>
          <cell r="H135">
            <v>18001.17</v>
          </cell>
          <cell r="I135">
            <v>7207</v>
          </cell>
          <cell r="J135">
            <v>1942.62</v>
          </cell>
          <cell r="K135">
            <v>0</v>
          </cell>
        </row>
        <row r="136">
          <cell r="C136">
            <v>337.85</v>
          </cell>
          <cell r="D136">
            <v>0</v>
          </cell>
          <cell r="E136">
            <v>0</v>
          </cell>
          <cell r="F136">
            <v>337.85</v>
          </cell>
          <cell r="G136">
            <v>11456.28</v>
          </cell>
          <cell r="H136">
            <v>6083</v>
          </cell>
          <cell r="I136">
            <v>2840</v>
          </cell>
          <cell r="J136">
            <v>1820</v>
          </cell>
          <cell r="K136">
            <v>713.28</v>
          </cell>
        </row>
        <row r="137">
          <cell r="C137">
            <v>520.96</v>
          </cell>
          <cell r="D137">
            <v>0</v>
          </cell>
          <cell r="E137">
            <v>0</v>
          </cell>
          <cell r="F137">
            <v>520.96</v>
          </cell>
          <cell r="G137">
            <v>8233</v>
          </cell>
          <cell r="H137">
            <v>5775</v>
          </cell>
          <cell r="I137">
            <v>1458</v>
          </cell>
          <cell r="J137">
            <v>1000</v>
          </cell>
          <cell r="K137">
            <v>0</v>
          </cell>
        </row>
        <row r="138">
          <cell r="C138">
            <v>90.16</v>
          </cell>
          <cell r="D138">
            <v>0</v>
          </cell>
          <cell r="E138">
            <v>0</v>
          </cell>
          <cell r="F138">
            <v>90.16</v>
          </cell>
          <cell r="G138">
            <v>11986.23</v>
          </cell>
          <cell r="H138">
            <v>6763</v>
          </cell>
          <cell r="I138">
            <v>2373</v>
          </cell>
          <cell r="J138">
            <v>1722.62</v>
          </cell>
          <cell r="K138">
            <v>1127.61</v>
          </cell>
        </row>
        <row r="139">
          <cell r="C139">
            <v>5120.91</v>
          </cell>
          <cell r="D139">
            <v>0</v>
          </cell>
          <cell r="E139">
            <v>0</v>
          </cell>
          <cell r="F139">
            <v>5120.91</v>
          </cell>
          <cell r="G139">
            <v>9107</v>
          </cell>
          <cell r="H139">
            <v>6421</v>
          </cell>
          <cell r="I139">
            <v>1476</v>
          </cell>
          <cell r="J139">
            <v>1210</v>
          </cell>
          <cell r="K139">
            <v>0</v>
          </cell>
        </row>
        <row r="140">
          <cell r="C140">
            <v>3474.98</v>
          </cell>
          <cell r="D140">
            <v>0</v>
          </cell>
          <cell r="E140">
            <v>0</v>
          </cell>
          <cell r="F140">
            <v>3474.98</v>
          </cell>
          <cell r="G140">
            <v>36228.14</v>
          </cell>
          <cell r="H140">
            <v>27628.58</v>
          </cell>
          <cell r="I140">
            <v>5332</v>
          </cell>
          <cell r="J140">
            <v>3150</v>
          </cell>
          <cell r="K140">
            <v>117.56</v>
          </cell>
        </row>
        <row r="141">
          <cell r="C141">
            <v>5242.69</v>
          </cell>
          <cell r="D141">
            <v>0</v>
          </cell>
          <cell r="E141">
            <v>0</v>
          </cell>
          <cell r="F141">
            <v>5242.69</v>
          </cell>
          <cell r="G141">
            <v>31573.59</v>
          </cell>
          <cell r="H141">
            <v>23760.12</v>
          </cell>
          <cell r="I141">
            <v>5006</v>
          </cell>
          <cell r="J141">
            <v>2629.8</v>
          </cell>
          <cell r="K141">
            <v>177.67</v>
          </cell>
        </row>
        <row r="142">
          <cell r="C142">
            <v>2664.94</v>
          </cell>
          <cell r="D142">
            <v>0</v>
          </cell>
          <cell r="E142">
            <v>0</v>
          </cell>
          <cell r="F142">
            <v>2664.94</v>
          </cell>
          <cell r="G142">
            <v>30505.74</v>
          </cell>
          <cell r="H142">
            <v>23593.74</v>
          </cell>
          <cell r="I142">
            <v>4262</v>
          </cell>
          <cell r="J142">
            <v>2650</v>
          </cell>
          <cell r="K142">
            <v>0</v>
          </cell>
        </row>
        <row r="143">
          <cell r="C143">
            <v>3915.98</v>
          </cell>
          <cell r="D143">
            <v>0</v>
          </cell>
          <cell r="E143">
            <v>0</v>
          </cell>
          <cell r="F143">
            <v>3915.98</v>
          </cell>
          <cell r="G143">
            <v>30251.25</v>
          </cell>
          <cell r="H143">
            <v>21444.76</v>
          </cell>
          <cell r="I143">
            <v>6116</v>
          </cell>
          <cell r="J143">
            <v>2664.09</v>
          </cell>
          <cell r="K143">
            <v>26.4</v>
          </cell>
        </row>
        <row r="144">
          <cell r="C144">
            <v>135.67</v>
          </cell>
          <cell r="D144">
            <v>0</v>
          </cell>
          <cell r="E144">
            <v>0</v>
          </cell>
          <cell r="F144">
            <v>135.67</v>
          </cell>
          <cell r="G144">
            <v>9687.03</v>
          </cell>
          <cell r="H144">
            <v>4073.93</v>
          </cell>
          <cell r="I144">
            <v>4807</v>
          </cell>
          <cell r="J144">
            <v>750</v>
          </cell>
          <cell r="K144">
            <v>56.1</v>
          </cell>
        </row>
        <row r="145">
          <cell r="C145">
            <v>1678.8</v>
          </cell>
          <cell r="D145">
            <v>0</v>
          </cell>
          <cell r="E145">
            <v>0</v>
          </cell>
          <cell r="F145">
            <v>1678.8</v>
          </cell>
          <cell r="G145">
            <v>27219</v>
          </cell>
          <cell r="H145">
            <v>19058</v>
          </cell>
          <cell r="I145">
            <v>2782</v>
          </cell>
          <cell r="J145">
            <v>5379</v>
          </cell>
          <cell r="K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9206.63</v>
          </cell>
          <cell r="H146">
            <v>7093.63</v>
          </cell>
          <cell r="I146">
            <v>1563</v>
          </cell>
          <cell r="J146">
            <v>550</v>
          </cell>
          <cell r="K146">
            <v>0</v>
          </cell>
        </row>
        <row r="147"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9126.72</v>
          </cell>
          <cell r="H147">
            <v>7081.88</v>
          </cell>
          <cell r="I147">
            <v>1139</v>
          </cell>
          <cell r="J147">
            <v>550</v>
          </cell>
          <cell r="K147">
            <v>355.84</v>
          </cell>
        </row>
        <row r="148">
          <cell r="C148">
            <v>713.01</v>
          </cell>
          <cell r="D148">
            <v>0</v>
          </cell>
          <cell r="E148">
            <v>0</v>
          </cell>
          <cell r="F148">
            <v>713.01</v>
          </cell>
          <cell r="G148">
            <v>11507.04</v>
          </cell>
          <cell r="H148">
            <v>9579.83</v>
          </cell>
          <cell r="I148">
            <v>1273</v>
          </cell>
          <cell r="J148">
            <v>500</v>
          </cell>
          <cell r="K148">
            <v>154.21</v>
          </cell>
        </row>
        <row r="149">
          <cell r="C149">
            <v>1250.5</v>
          </cell>
          <cell r="D149">
            <v>0</v>
          </cell>
          <cell r="E149">
            <v>0</v>
          </cell>
          <cell r="F149">
            <v>1250.5</v>
          </cell>
          <cell r="G149">
            <v>17237.39</v>
          </cell>
          <cell r="H149">
            <v>13177.39</v>
          </cell>
          <cell r="I149">
            <v>3460</v>
          </cell>
          <cell r="J149">
            <v>600</v>
          </cell>
          <cell r="K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22771.89</v>
          </cell>
          <cell r="H150">
            <v>16422.89</v>
          </cell>
          <cell r="I150">
            <v>3702</v>
          </cell>
          <cell r="J150">
            <v>650</v>
          </cell>
          <cell r="K150">
            <v>1997</v>
          </cell>
        </row>
        <row r="151">
          <cell r="C151">
            <v>858.39</v>
          </cell>
          <cell r="D151">
            <v>0</v>
          </cell>
          <cell r="E151">
            <v>0</v>
          </cell>
          <cell r="F151">
            <v>858.39</v>
          </cell>
          <cell r="G151">
            <v>16585.3</v>
          </cell>
          <cell r="H151">
            <v>14471.3</v>
          </cell>
          <cell r="I151">
            <v>1464</v>
          </cell>
          <cell r="J151">
            <v>650</v>
          </cell>
          <cell r="K151">
            <v>0</v>
          </cell>
        </row>
        <row r="152">
          <cell r="C152">
            <v>3932.06</v>
          </cell>
          <cell r="D152">
            <v>0</v>
          </cell>
          <cell r="E152">
            <v>0</v>
          </cell>
          <cell r="F152">
            <v>3932.06</v>
          </cell>
          <cell r="G152">
            <v>57791.82</v>
          </cell>
          <cell r="H152">
            <v>37998.82</v>
          </cell>
          <cell r="I152">
            <v>13543</v>
          </cell>
          <cell r="J152">
            <v>750</v>
          </cell>
          <cell r="K152">
            <v>5500</v>
          </cell>
        </row>
        <row r="153">
          <cell r="C153">
            <v>1329.92</v>
          </cell>
          <cell r="D153">
            <v>0</v>
          </cell>
          <cell r="E153">
            <v>0</v>
          </cell>
          <cell r="F153">
            <v>1329.92</v>
          </cell>
          <cell r="G153">
            <v>16692.42</v>
          </cell>
          <cell r="H153">
            <v>11925.26</v>
          </cell>
          <cell r="I153">
            <v>3216</v>
          </cell>
          <cell r="J153">
            <v>550</v>
          </cell>
          <cell r="K153">
            <v>1001.16</v>
          </cell>
        </row>
        <row r="154">
          <cell r="C154">
            <v>225.65</v>
          </cell>
          <cell r="D154">
            <v>0</v>
          </cell>
          <cell r="E154">
            <v>0</v>
          </cell>
          <cell r="F154">
            <v>225.65</v>
          </cell>
          <cell r="G154">
            <v>8245.271416</v>
          </cell>
          <cell r="H154">
            <v>4771</v>
          </cell>
          <cell r="I154">
            <v>1688</v>
          </cell>
          <cell r="J154">
            <v>500</v>
          </cell>
          <cell r="K154">
            <v>1286.271416</v>
          </cell>
        </row>
        <row r="155">
          <cell r="C155">
            <v>886.62</v>
          </cell>
          <cell r="D155">
            <v>0</v>
          </cell>
          <cell r="E155">
            <v>0</v>
          </cell>
          <cell r="F155">
            <v>886.62</v>
          </cell>
          <cell r="G155">
            <v>7924.265</v>
          </cell>
          <cell r="H155">
            <v>5632</v>
          </cell>
          <cell r="I155">
            <v>1654</v>
          </cell>
          <cell r="J155">
            <v>638.265</v>
          </cell>
          <cell r="K15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W196"/>
  <sheetViews>
    <sheetView zoomScale="85" zoomScaleNormal="85" workbookViewId="0">
      <pane xSplit="3" ySplit="7" topLeftCell="K8" activePane="bottomRight" state="frozen"/>
      <selection/>
      <selection pane="topRight"/>
      <selection pane="bottomLeft"/>
      <selection pane="bottomRight" activeCell="A1" sqref="A1:I1"/>
    </sheetView>
  </sheetViews>
  <sheetFormatPr defaultColWidth="9" defaultRowHeight="13.5"/>
  <cols>
    <col min="1" max="1" width="4.875" style="9" customWidth="1"/>
    <col min="2" max="2" width="10.8833333333333" style="10" customWidth="1"/>
    <col min="3" max="3" width="8.125" style="9" customWidth="1"/>
    <col min="4" max="4" width="5.29166666666667" style="9" customWidth="1"/>
    <col min="5" max="6" width="7" style="9" customWidth="1"/>
    <col min="7" max="8" width="8.675" style="9" customWidth="1"/>
    <col min="9" max="9" width="7.625" style="11" customWidth="1"/>
    <col min="10" max="10" width="8.75" style="11" customWidth="1"/>
    <col min="11" max="17" width="7.625" style="11" customWidth="1"/>
    <col min="18" max="18" width="6.5" style="11" customWidth="1"/>
    <col min="19" max="19" width="8.56666666666667" style="11" customWidth="1"/>
    <col min="20" max="20" width="8.20833333333333" style="11" customWidth="1"/>
    <col min="21" max="21" width="9.1" style="11" customWidth="1"/>
    <col min="22" max="22" width="8.75" style="11" customWidth="1"/>
    <col min="23" max="23" width="8.25" style="11" customWidth="1"/>
    <col min="24" max="24" width="7.625" style="11" customWidth="1"/>
    <col min="25" max="26" width="7.64166666666667" style="11" customWidth="1"/>
    <col min="27" max="29" width="7.125" style="12" customWidth="1"/>
    <col min="30" max="31" width="8.81666666666667" style="12" customWidth="1"/>
    <col min="32" max="34" width="7.675" style="12" customWidth="1"/>
    <col min="35" max="35" width="10.4333333333333" style="12" customWidth="1"/>
    <col min="36" max="36" width="7.5" style="12" customWidth="1"/>
    <col min="37" max="37" width="6.46666666666667" style="12" customWidth="1"/>
    <col min="38" max="39" width="7.79166666666667" style="12" customWidth="1"/>
    <col min="40" max="40" width="7.05833333333333" style="12" customWidth="1"/>
    <col min="41" max="41" width="8.75" style="11" hidden="1" customWidth="1"/>
    <col min="42" max="42" width="7.375" style="11" hidden="1" customWidth="1"/>
    <col min="43" max="43" width="9" style="180" customWidth="1"/>
    <col min="44" max="44" width="9.875" style="181" customWidth="1"/>
    <col min="45" max="45" width="12.625" style="5" customWidth="1"/>
    <col min="46" max="46" width="12.9333333333333" style="5" customWidth="1"/>
    <col min="47" max="53" width="9" style="5" customWidth="1"/>
    <col min="54" max="75" width="9" style="5"/>
  </cols>
  <sheetData>
    <row r="1" ht="16" customHeight="1" spans="1:75">
      <c r="A1" s="9" t="s">
        <v>0</v>
      </c>
      <c r="F1" s="13"/>
      <c r="G1" s="11"/>
      <c r="H1" s="11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/>
      <c r="AM1"/>
      <c r="AN1"/>
      <c r="AO1"/>
      <c r="AP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</row>
    <row r="2" ht="21" customHeight="1" spans="1:44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93"/>
      <c r="AR2" s="14"/>
    </row>
    <row r="3" ht="21" customHeight="1" spans="1:44">
      <c r="A3" s="15"/>
      <c r="B3" s="16"/>
      <c r="C3" s="15"/>
      <c r="D3" s="15"/>
      <c r="E3" s="15"/>
      <c r="F3" s="15"/>
      <c r="G3" s="15"/>
      <c r="H3" s="15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O3" s="59"/>
      <c r="AP3" s="13"/>
      <c r="AR3" s="13" t="s">
        <v>2</v>
      </c>
    </row>
    <row r="4" s="1" customFormat="1" ht="33" customHeight="1" spans="1:44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82" t="s">
        <v>10</v>
      </c>
      <c r="I4" s="90" t="s">
        <v>11</v>
      </c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 t="s">
        <v>12</v>
      </c>
      <c r="Y4" s="90"/>
      <c r="Z4" s="90"/>
      <c r="AA4" s="90" t="s">
        <v>13</v>
      </c>
      <c r="AB4" s="90"/>
      <c r="AC4" s="90"/>
      <c r="AD4" s="90"/>
      <c r="AE4" s="90"/>
      <c r="AF4" s="90"/>
      <c r="AG4" s="90"/>
      <c r="AH4" s="90"/>
      <c r="AI4" s="90"/>
      <c r="AJ4" s="63" t="s">
        <v>14</v>
      </c>
      <c r="AK4" s="63"/>
      <c r="AL4" s="63"/>
      <c r="AM4" s="63"/>
      <c r="AN4" s="63" t="s">
        <v>15</v>
      </c>
      <c r="AO4" s="100" t="s">
        <v>16</v>
      </c>
      <c r="AP4" s="100" t="s">
        <v>17</v>
      </c>
      <c r="AQ4" s="194" t="s">
        <v>18</v>
      </c>
      <c r="AR4" s="195" t="s">
        <v>19</v>
      </c>
    </row>
    <row r="5" s="1" customFormat="1" ht="30" customHeight="1" spans="1:44">
      <c r="A5" s="19"/>
      <c r="B5" s="19"/>
      <c r="C5" s="19"/>
      <c r="D5" s="19"/>
      <c r="E5" s="19"/>
      <c r="F5" s="19"/>
      <c r="G5" s="19"/>
      <c r="H5" s="183"/>
      <c r="I5" s="63" t="s">
        <v>20</v>
      </c>
      <c r="J5" s="63"/>
      <c r="K5" s="63"/>
      <c r="L5" s="63"/>
      <c r="M5" s="63"/>
      <c r="N5" s="63"/>
      <c r="O5" s="63"/>
      <c r="P5" s="63" t="s">
        <v>21</v>
      </c>
      <c r="Q5" s="63" t="s">
        <v>22</v>
      </c>
      <c r="R5" s="63"/>
      <c r="S5" s="63"/>
      <c r="T5" s="63"/>
      <c r="U5" s="63"/>
      <c r="V5" s="63"/>
      <c r="W5" s="100" t="s">
        <v>23</v>
      </c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63"/>
      <c r="AK5" s="63"/>
      <c r="AL5" s="63"/>
      <c r="AM5" s="63"/>
      <c r="AN5" s="63"/>
      <c r="AO5" s="100"/>
      <c r="AP5" s="100"/>
      <c r="AQ5" s="194"/>
      <c r="AR5" s="195"/>
    </row>
    <row r="6" s="1" customFormat="1" ht="37" customHeight="1" spans="1:44">
      <c r="A6" s="19"/>
      <c r="B6" s="19"/>
      <c r="C6" s="19"/>
      <c r="D6" s="19"/>
      <c r="E6" s="19"/>
      <c r="F6" s="19"/>
      <c r="G6" s="19"/>
      <c r="H6" s="183"/>
      <c r="I6" s="64" t="s">
        <v>24</v>
      </c>
      <c r="J6" s="64" t="s">
        <v>25</v>
      </c>
      <c r="K6" s="64"/>
      <c r="L6" s="64"/>
      <c r="M6" s="64"/>
      <c r="N6" s="64"/>
      <c r="O6" s="64"/>
      <c r="P6" s="63"/>
      <c r="Q6" s="64" t="s">
        <v>26</v>
      </c>
      <c r="R6" s="64" t="s">
        <v>27</v>
      </c>
      <c r="S6" s="64"/>
      <c r="T6" s="64"/>
      <c r="U6" s="64"/>
      <c r="V6" s="64"/>
      <c r="W6" s="100"/>
      <c r="X6" s="63" t="s">
        <v>28</v>
      </c>
      <c r="Y6" s="63" t="s">
        <v>29</v>
      </c>
      <c r="Z6" s="100" t="s">
        <v>23</v>
      </c>
      <c r="AA6" s="63" t="s">
        <v>30</v>
      </c>
      <c r="AB6" s="63"/>
      <c r="AC6" s="63"/>
      <c r="AD6" s="63" t="s">
        <v>31</v>
      </c>
      <c r="AE6" s="63"/>
      <c r="AF6" s="63"/>
      <c r="AG6" s="63" t="s">
        <v>32</v>
      </c>
      <c r="AH6" s="63"/>
      <c r="AI6" s="63" t="s">
        <v>33</v>
      </c>
      <c r="AJ6" s="63" t="s">
        <v>34</v>
      </c>
      <c r="AK6" s="63"/>
      <c r="AL6" s="63" t="s">
        <v>35</v>
      </c>
      <c r="AM6" s="63"/>
      <c r="AN6" s="63"/>
      <c r="AO6" s="100"/>
      <c r="AP6" s="100"/>
      <c r="AQ6" s="194"/>
      <c r="AR6" s="195"/>
    </row>
    <row r="7" s="1" customFormat="1" ht="77" customHeight="1" spans="1:45">
      <c r="A7" s="21"/>
      <c r="B7" s="21"/>
      <c r="C7" s="21"/>
      <c r="D7" s="21"/>
      <c r="E7" s="21"/>
      <c r="F7" s="21"/>
      <c r="G7" s="21"/>
      <c r="H7" s="184"/>
      <c r="I7" s="64"/>
      <c r="J7" s="64" t="s">
        <v>36</v>
      </c>
      <c r="K7" s="64" t="s">
        <v>37</v>
      </c>
      <c r="L7" s="64" t="s">
        <v>38</v>
      </c>
      <c r="M7" s="64" t="s">
        <v>39</v>
      </c>
      <c r="N7" s="64" t="s">
        <v>40</v>
      </c>
      <c r="O7" s="64" t="s">
        <v>41</v>
      </c>
      <c r="P7" s="63"/>
      <c r="Q7" s="64"/>
      <c r="R7" s="64" t="s">
        <v>36</v>
      </c>
      <c r="S7" s="64" t="s">
        <v>42</v>
      </c>
      <c r="T7" s="63" t="s">
        <v>43</v>
      </c>
      <c r="U7" s="63" t="s">
        <v>44</v>
      </c>
      <c r="V7" s="63" t="s">
        <v>45</v>
      </c>
      <c r="W7" s="100"/>
      <c r="X7" s="96"/>
      <c r="Y7" s="96"/>
      <c r="Z7" s="192"/>
      <c r="AA7" s="98" t="s">
        <v>46</v>
      </c>
      <c r="AB7" s="98" t="s">
        <v>47</v>
      </c>
      <c r="AC7" s="99" t="s">
        <v>23</v>
      </c>
      <c r="AD7" s="63" t="s">
        <v>48</v>
      </c>
      <c r="AE7" s="100" t="s">
        <v>49</v>
      </c>
      <c r="AF7" s="100" t="s">
        <v>50</v>
      </c>
      <c r="AG7" s="63" t="s">
        <v>51</v>
      </c>
      <c r="AH7" s="99" t="s">
        <v>23</v>
      </c>
      <c r="AI7" s="100" t="s">
        <v>52</v>
      </c>
      <c r="AJ7" s="63" t="s">
        <v>53</v>
      </c>
      <c r="AK7" s="99" t="s">
        <v>23</v>
      </c>
      <c r="AL7" s="63" t="s">
        <v>54</v>
      </c>
      <c r="AM7" s="99" t="s">
        <v>23</v>
      </c>
      <c r="AN7" s="63"/>
      <c r="AO7" s="100"/>
      <c r="AP7" s="100"/>
      <c r="AQ7" s="194"/>
      <c r="AR7" s="195"/>
      <c r="AS7" s="196"/>
    </row>
    <row r="8" s="2" customFormat="1" ht="24" customHeight="1" spans="1:75">
      <c r="A8" s="23"/>
      <c r="B8" s="23"/>
      <c r="C8" s="23"/>
      <c r="D8" s="23"/>
      <c r="E8" s="23"/>
      <c r="F8" s="23"/>
      <c r="G8" s="23">
        <v>1</v>
      </c>
      <c r="H8" s="185"/>
      <c r="I8" s="23">
        <v>2</v>
      </c>
      <c r="J8" s="23">
        <v>3</v>
      </c>
      <c r="K8" s="23">
        <v>4</v>
      </c>
      <c r="L8" s="23">
        <v>5</v>
      </c>
      <c r="M8" s="23">
        <v>6</v>
      </c>
      <c r="N8" s="23">
        <v>7</v>
      </c>
      <c r="O8" s="23">
        <v>8</v>
      </c>
      <c r="P8" s="23">
        <v>9</v>
      </c>
      <c r="Q8" s="23">
        <v>10</v>
      </c>
      <c r="R8" s="23">
        <v>11</v>
      </c>
      <c r="S8" s="23">
        <v>12</v>
      </c>
      <c r="T8" s="23">
        <v>13</v>
      </c>
      <c r="U8" s="23">
        <v>14</v>
      </c>
      <c r="V8" s="23">
        <v>15</v>
      </c>
      <c r="W8" s="23">
        <v>16</v>
      </c>
      <c r="X8" s="23">
        <v>17</v>
      </c>
      <c r="Y8" s="23">
        <v>18</v>
      </c>
      <c r="Z8" s="23">
        <v>19</v>
      </c>
      <c r="AA8" s="23">
        <v>20</v>
      </c>
      <c r="AB8" s="23"/>
      <c r="AC8" s="23">
        <v>21</v>
      </c>
      <c r="AD8" s="23">
        <v>22</v>
      </c>
      <c r="AE8" s="23">
        <v>23</v>
      </c>
      <c r="AF8" s="23">
        <v>24</v>
      </c>
      <c r="AG8" s="23"/>
      <c r="AH8" s="23"/>
      <c r="AI8" s="23">
        <v>25</v>
      </c>
      <c r="AJ8" s="23">
        <v>26</v>
      </c>
      <c r="AK8" s="23">
        <v>27</v>
      </c>
      <c r="AL8" s="23">
        <v>28</v>
      </c>
      <c r="AM8" s="23">
        <v>29</v>
      </c>
      <c r="AN8" s="23">
        <v>30</v>
      </c>
      <c r="AO8" s="23">
        <v>31</v>
      </c>
      <c r="AP8" s="23">
        <v>32</v>
      </c>
      <c r="AQ8" s="197">
        <v>33</v>
      </c>
      <c r="AR8" s="23">
        <v>34</v>
      </c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</row>
    <row r="9" s="3" customFormat="1" ht="17" customHeight="1" spans="1:75">
      <c r="A9" s="24"/>
      <c r="B9" s="186" t="s">
        <v>55</v>
      </c>
      <c r="C9" s="56">
        <v>0</v>
      </c>
      <c r="D9" s="26"/>
      <c r="E9" s="26"/>
      <c r="F9" s="27"/>
      <c r="G9" s="28">
        <f>SUM(SUMIF($C:$C,"1",G:G))</f>
        <v>381298.76</v>
      </c>
      <c r="H9" s="86">
        <f>SUM(SUMIF($C:$C,"1",H:H))</f>
        <v>210000</v>
      </c>
      <c r="I9" s="86">
        <f>SUM(SUMIF($C:$C,"1",I:I))</f>
        <v>6652993</v>
      </c>
      <c r="J9" s="190">
        <f>SUM(SUMIF($C:$C,"1",J:J))</f>
        <v>4779587.2</v>
      </c>
      <c r="K9" s="86">
        <f>SUM(SUMIF($C:$C,"1",K:K))</f>
        <v>117751.6</v>
      </c>
      <c r="L9" s="86">
        <f>SUM(SUMIF($C:$C,"1",L:L))</f>
        <v>198328.8</v>
      </c>
      <c r="M9" s="86">
        <f>SUM(SUMIF($C:$C,"1",M:M))</f>
        <v>843038.4</v>
      </c>
      <c r="N9" s="86">
        <f>SUM(SUMIF($C:$C,"1",N:N))</f>
        <v>2171522.4</v>
      </c>
      <c r="O9" s="86">
        <f>SUM(SUMIF($C:$C,"1",O:O))</f>
        <v>1448946</v>
      </c>
      <c r="P9" s="86">
        <f>SUM(SUMIF($C:$C,"1",P:P))</f>
        <v>832948</v>
      </c>
      <c r="Q9" s="86">
        <f>SUM(SUMIF($C:$C,"1",Q:Q))</f>
        <v>996117</v>
      </c>
      <c r="R9" s="86">
        <f>SUM(SUMIF($C:$C,"1",R:R))</f>
        <v>930735.6</v>
      </c>
      <c r="S9" s="86">
        <f>SUM(SUMIF($C:$C,"1",S:S))</f>
        <v>3038</v>
      </c>
      <c r="T9" s="86">
        <f>SUM(SUMIF($C:$C,"1",T:T))</f>
        <v>37715.4</v>
      </c>
      <c r="U9" s="86">
        <f>SUM(SUMIF($C:$C,"1",U:U))</f>
        <v>142723.2</v>
      </c>
      <c r="V9" s="86">
        <f>SUM(SUMIF($C:$C,"1",V:V))</f>
        <v>747259</v>
      </c>
      <c r="W9" s="80">
        <f>SUM(SUMIF($C:$C,"1",W:W))</f>
        <v>89826.9</v>
      </c>
      <c r="X9" s="65">
        <f>SUM(SUMIF($C:$C,"1",X:X))</f>
        <v>0</v>
      </c>
      <c r="Y9" s="113">
        <f>SUM(SUMIF($C:$C,"1",Y:Y))</f>
        <v>18.0567644276254</v>
      </c>
      <c r="Z9" s="80">
        <f>SUM(SUMIF($C:$C,"1",Z:Z))</f>
        <v>44913.45</v>
      </c>
      <c r="AA9" s="65">
        <f>SUM(SUMIF($C:$C,"1",AA:AA))</f>
        <v>374</v>
      </c>
      <c r="AB9" s="80">
        <f>SUM(SUMIF($C:$C,"1",AB:AB))</f>
        <v>125155.323529412</v>
      </c>
      <c r="AC9" s="86">
        <f>SUM(SUMIF($C:$C,"1",AC:AC))</f>
        <v>125155.323529412</v>
      </c>
      <c r="AD9" s="86">
        <f>SUM(SUMIF($C:$C,"1",AD:AD))</f>
        <v>4018602.2</v>
      </c>
      <c r="AE9" s="86">
        <f>SUM(SUMIF($C:$C,"1",AE:AE))</f>
        <v>45864.4161134188</v>
      </c>
      <c r="AF9" s="86">
        <f>SUM(SUMIF($C:$C,"1",AF:AF))</f>
        <v>0</v>
      </c>
      <c r="AG9" s="86">
        <f>SUM(SUMIF($C:$C,"1",AG:AG))</f>
        <v>623</v>
      </c>
      <c r="AH9" s="86">
        <f>SUM(SUMIF($C:$C,"1",AH:AH))</f>
        <v>9347</v>
      </c>
      <c r="AI9" s="80">
        <f>SUM(SUMIF($C:$C,"1",AI:AI))</f>
        <v>5000</v>
      </c>
      <c r="AJ9" s="113">
        <f>SUM(AJ21:AJ194)</f>
        <v>116.19658191679</v>
      </c>
      <c r="AK9" s="86">
        <f>SUM(SUMIF($C:$C,"1",AK:AK))</f>
        <v>7485.57500000002</v>
      </c>
      <c r="AL9" s="86">
        <f>SUM(SUMIF($C:$C,"1",AL:AL))</f>
        <v>11268.25</v>
      </c>
      <c r="AM9" s="86">
        <f>SUM(SUMIF($C:$C,"1",AM:AM))</f>
        <v>7485.575</v>
      </c>
      <c r="AN9" s="65">
        <f>SUM(SUMIF($C:$C,"1",AN:AN))</f>
        <v>325732</v>
      </c>
      <c r="AO9" s="65">
        <f>SUM(SUMIF($C:$C,"1",AO:AO))</f>
        <v>-55566.76</v>
      </c>
      <c r="AP9" s="125">
        <f t="shared" ref="AP9:AP72" si="0">AO9/G9</f>
        <v>-0.14573024050747</v>
      </c>
      <c r="AQ9" s="86">
        <f>SUM(SUMIF($C:$C,"1",AQ:AQ))</f>
        <v>115732</v>
      </c>
      <c r="AR9" s="198">
        <f t="shared" ref="AR9:AR72" si="1">AQ9/H9</f>
        <v>0.551104761904762</v>
      </c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</row>
    <row r="10" ht="17" customHeight="1" spans="1:53">
      <c r="A10" s="29"/>
      <c r="B10" s="187" t="s">
        <v>56</v>
      </c>
      <c r="C10" s="31">
        <v>1</v>
      </c>
      <c r="D10" s="31"/>
      <c r="E10" s="31"/>
      <c r="F10" s="32"/>
      <c r="G10" s="33"/>
      <c r="H10" s="101"/>
      <c r="I10" s="101"/>
      <c r="J10" s="19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33"/>
      <c r="X10" s="66"/>
      <c r="Y10" s="114"/>
      <c r="Z10" s="33"/>
      <c r="AA10" s="66"/>
      <c r="AB10" s="33"/>
      <c r="AC10" s="101"/>
      <c r="AD10" s="101"/>
      <c r="AE10" s="101"/>
      <c r="AF10" s="101"/>
      <c r="AG10" s="101"/>
      <c r="AH10" s="101"/>
      <c r="AI10" s="33"/>
      <c r="AJ10" s="114"/>
      <c r="AK10" s="101"/>
      <c r="AL10" s="101"/>
      <c r="AM10" s="101"/>
      <c r="AN10" s="67"/>
      <c r="AO10" s="67">
        <f t="shared" ref="AO10:AO17" si="2">AN10-G10</f>
        <v>0</v>
      </c>
      <c r="AP10" s="125"/>
      <c r="AQ10" s="101"/>
      <c r="AR10" s="198"/>
      <c r="AZ10" s="5" t="s">
        <v>57</v>
      </c>
      <c r="BA10" s="5">
        <v>0</v>
      </c>
    </row>
    <row r="11" s="4" customFormat="1" ht="17" customHeight="1" spans="1:75">
      <c r="A11" s="35"/>
      <c r="B11" s="188" t="s">
        <v>58</v>
      </c>
      <c r="C11" s="37">
        <v>0</v>
      </c>
      <c r="D11" s="37"/>
      <c r="E11" s="37"/>
      <c r="F11" s="38"/>
      <c r="G11" s="28">
        <f>SUM(SUMIF($C:$C,"2",G:G))</f>
        <v>0</v>
      </c>
      <c r="H11" s="44">
        <f>SUM(SUMIF($C:$C,"2",H:H))</f>
        <v>0</v>
      </c>
      <c r="I11" s="44">
        <f>SUM(SUMIF($C:$C,"2",I:I))</f>
        <v>0</v>
      </c>
      <c r="J11" s="127">
        <f>SUM(SUMIF($C:$C,"2",J:J))</f>
        <v>0</v>
      </c>
      <c r="K11" s="44">
        <f>SUM(SUMIF($C:$C,"2",K:K))</f>
        <v>0</v>
      </c>
      <c r="L11" s="44">
        <f>SUM(SUMIF($C:$C,"2",L:L))</f>
        <v>0</v>
      </c>
      <c r="M11" s="44">
        <f>SUM(SUMIF($C:$C,"2",M:M))</f>
        <v>0</v>
      </c>
      <c r="N11" s="44">
        <f>SUM(SUMIF($C:$C,"2",N:N))</f>
        <v>0</v>
      </c>
      <c r="O11" s="44">
        <f>SUM(SUMIF($C:$C,"2",O:O))</f>
        <v>0</v>
      </c>
      <c r="P11" s="44">
        <f>SUM(SUMIF($C:$C,"2",P:P))</f>
        <v>0</v>
      </c>
      <c r="Q11" s="44">
        <f>SUM(SUMIF($C:$C,"2",Q:Q))</f>
        <v>0</v>
      </c>
      <c r="R11" s="44">
        <f>SUM(SUMIF($C:$C,"2",R:R))</f>
        <v>0</v>
      </c>
      <c r="S11" s="44">
        <f>SUM(SUMIF($C:$C,"2",S:S))</f>
        <v>0</v>
      </c>
      <c r="T11" s="44">
        <f>SUM(SUMIF($C:$C,"2",T:T))</f>
        <v>0</v>
      </c>
      <c r="U11" s="44">
        <f>SUM(SUMIF($C:$C,"2",U:U))</f>
        <v>0</v>
      </c>
      <c r="V11" s="44">
        <f>SUM(SUMIF($C:$C,"2",V:V))</f>
        <v>0</v>
      </c>
      <c r="W11" s="76">
        <f>SUM(SUMIF($C:$C,"2",W:W))</f>
        <v>0</v>
      </c>
      <c r="X11" s="67">
        <f>SUM(SUMIF($C:$C,"2",X:X))</f>
        <v>0</v>
      </c>
      <c r="Y11" s="115">
        <f>SUM(SUMIF($C:$C,"2",Y:Y))</f>
        <v>0</v>
      </c>
      <c r="Z11" s="76">
        <f>SUM(SUMIF($C:$C,"2",Z:Z))</f>
        <v>0</v>
      </c>
      <c r="AA11" s="67">
        <f>SUM(SUMIF($C:$C,"2",AA:AA))</f>
        <v>0</v>
      </c>
      <c r="AB11" s="76">
        <f>SUM(SUMIF($C:$C,"2",AB:AB))</f>
        <v>0</v>
      </c>
      <c r="AC11" s="44">
        <f>SUM(SUMIF($C:$C,"2",AC:AC))</f>
        <v>0</v>
      </c>
      <c r="AD11" s="44">
        <f>SUM(SUMIF($C:$C,"2",AD:AD))</f>
        <v>0</v>
      </c>
      <c r="AE11" s="44">
        <f>SUM(SUMIF($C:$C,"2",AE:AE))</f>
        <v>0</v>
      </c>
      <c r="AF11" s="44">
        <f>SUM(SUMIF($C:$C,"2",AF:AF))</f>
        <v>0</v>
      </c>
      <c r="AG11" s="44">
        <f>SUM(SUMIF($C:$C,"2",AG:AG))</f>
        <v>0</v>
      </c>
      <c r="AH11" s="44">
        <f>SUM(SUMIF($C:$C,"2",AH:AH))</f>
        <v>0</v>
      </c>
      <c r="AI11" s="76">
        <f>SUM(SUMIF($C:$C,"2",AI:AI))</f>
        <v>0</v>
      </c>
      <c r="AJ11" s="115"/>
      <c r="AK11" s="44">
        <f>SUM(SUMIF($C:$C,"2",AK:AK))</f>
        <v>0</v>
      </c>
      <c r="AL11" s="44">
        <f>SUM(SUMIF($C:$C,"2",AL:AL))</f>
        <v>0</v>
      </c>
      <c r="AM11" s="44">
        <f>SUM(SUMIF($C:$C,"2",AM:AM))</f>
        <v>0</v>
      </c>
      <c r="AN11" s="67">
        <f>SUM(SUMIF($C:$C,"2",AN:AN))</f>
        <v>0</v>
      </c>
      <c r="AO11" s="67">
        <f t="shared" si="2"/>
        <v>0</v>
      </c>
      <c r="AP11" s="125" t="e">
        <f t="shared" si="0"/>
        <v>#DIV/0!</v>
      </c>
      <c r="AQ11" s="44">
        <f>SUM(SUMIF($C:$C,"2",AQ:AQ))</f>
        <v>0</v>
      </c>
      <c r="AR11" s="198"/>
      <c r="AS11" s="5"/>
      <c r="AT11" s="5"/>
      <c r="AU11" s="5"/>
      <c r="AV11" s="5"/>
      <c r="AW11" s="5"/>
      <c r="AX11" s="5"/>
      <c r="AY11" s="5"/>
      <c r="AZ11" s="5" t="s">
        <v>59</v>
      </c>
      <c r="BA11" s="5">
        <v>1161</v>
      </c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</row>
    <row r="12" s="5" customFormat="1" ht="17" customHeight="1" spans="1:53">
      <c r="A12" s="29"/>
      <c r="B12" s="187" t="s">
        <v>60</v>
      </c>
      <c r="C12" s="31"/>
      <c r="D12" s="31"/>
      <c r="E12" s="31"/>
      <c r="F12" s="32"/>
      <c r="G12" s="28">
        <f>SUM(SUMIF($C:$C,"贫困",G:G))+SUM(SUMIF($C:$C,"深度贫困",G:G))</f>
        <v>321414.76</v>
      </c>
      <c r="H12" s="44">
        <f>SUM(SUMIF($C:$C,"贫困",H:H))+SUM(SUMIF($C:$C,"深度贫困",H:H))</f>
        <v>177018.932870382</v>
      </c>
      <c r="I12" s="44">
        <f>SUM(SUMIF($C:$C,"贫困",I:I))+SUM(SUMIF($C:$C,"深度贫困",I:I))</f>
        <v>6064235</v>
      </c>
      <c r="J12" s="127">
        <f>SUM(SUMIF($C:$C,"贫困",J:J))+SUM(SUMIF($C:$C,"深度贫困",J:J))</f>
        <v>4661835.6</v>
      </c>
      <c r="K12" s="44">
        <f>SUM(SUMIF($C:$C,"贫困",K:K))+SUM(SUMIF($C:$C,"深度贫困",K:K))</f>
        <v>0</v>
      </c>
      <c r="L12" s="44">
        <f>SUM(SUMIF($C:$C,"贫困",L:L))+SUM(SUMIF($C:$C,"深度贫困",L:L))</f>
        <v>198328.8</v>
      </c>
      <c r="M12" s="44">
        <f>SUM(SUMIF($C:$C,"贫困",M:M))+SUM(SUMIF($C:$C,"深度贫困",M:M))</f>
        <v>843038.4</v>
      </c>
      <c r="N12" s="44">
        <f>SUM(SUMIF($C:$C,"贫困",N:N))+SUM(SUMIF($C:$C,"深度贫困",N:N))</f>
        <v>2171522.4</v>
      </c>
      <c r="O12" s="44">
        <f>SUM(SUMIF($C:$C,"贫困",O:O))+SUM(SUMIF($C:$C,"深度贫困",O:O))</f>
        <v>1448946</v>
      </c>
      <c r="P12" s="44">
        <f>SUM(SUMIF($C:$C,"贫困",P:P))+SUM(SUMIF($C:$C,"深度贫困",P:P))</f>
        <v>765492</v>
      </c>
      <c r="Q12" s="44">
        <f>SUM(SUMIF($C:$C,"贫困",Q:Q))+SUM(SUMIF($C:$C,"深度贫困",Q:Q))</f>
        <v>951493</v>
      </c>
      <c r="R12" s="44">
        <f>SUM(SUMIF($C:$C,"贫困",R:R))+SUM(SUMIF($C:$C,"深度贫困",R:R))</f>
        <v>900961.2</v>
      </c>
      <c r="S12" s="44">
        <f>SUM(SUMIF($C:$C,"贫困",S:S))+SUM(SUMIF($C:$C,"深度贫困",S:S))</f>
        <v>894</v>
      </c>
      <c r="T12" s="44">
        <f>SUM(SUMIF($C:$C,"贫困",T:T))+SUM(SUMIF($C:$C,"深度贫困",T:T))</f>
        <v>26373</v>
      </c>
      <c r="U12" s="44">
        <f>SUM(SUMIF($C:$C,"贫困",U:U))+SUM(SUMIF($C:$C,"深度贫困",U:U))</f>
        <v>126435.2</v>
      </c>
      <c r="V12" s="44">
        <f>SUM(SUMIF($C:$C,"贫困",V:V))+SUM(SUMIF($C:$C,"深度贫困",V:V))</f>
        <v>747259</v>
      </c>
      <c r="W12" s="44">
        <f>SUM(SUMIF($C:$C,"贫困",W:W))+SUM(SUMIF($C:$C,"深度贫困",W:W))</f>
        <v>86660.1987274536</v>
      </c>
      <c r="X12" s="67"/>
      <c r="Y12" s="115">
        <f>SUM(SUMIF($C:$C,"贫困",Y:Y))+SUM(SUMIF($C:$C,"深度贫困",Y:Y))</f>
        <v>18.0567644276254</v>
      </c>
      <c r="Z12" s="44">
        <f>SUM(SUMIF($C:$C,"贫困",Z:Z))+SUM(SUMIF($C:$C,"深度贫困",Z:Z))</f>
        <v>44913.45</v>
      </c>
      <c r="AA12" s="67">
        <f>SUM(SUMIF($C:$C,"贫困",AA:AA))+SUM(SUMIF($C:$C,"深度贫困",AA:AA))</f>
        <v>324</v>
      </c>
      <c r="AB12" s="44">
        <f>SUM(SUMIF($C:$C,"贫困",AB:AB))+SUM(SUMIF($C:$C,"深度贫困",AB:AB))</f>
        <v>86624.9117647058</v>
      </c>
      <c r="AC12" s="44">
        <f>SUM(SUMIF($C:$C,"贫困",AC:AC))+SUM(SUMIF($C:$C,"深度贫困",AC:AC))</f>
        <v>86624.9117647058</v>
      </c>
      <c r="AD12" s="44">
        <f>SUM(SUMIF($C:$C,"贫困",AD:AD))+SUM(SUMIF($C:$C,"深度贫困",AD:AD))</f>
        <v>4018602.2</v>
      </c>
      <c r="AE12" s="44">
        <f>SUM(SUMIF($C:$C,"贫困",AE:AE))+SUM(SUMIF($C:$C,"深度贫困",AE:AE))</f>
        <v>45864.4161134188</v>
      </c>
      <c r="AF12" s="44">
        <f>SUM(SUMIF($C:$C,"贫困",AF:AF))+SUM(SUMIF($C:$C,"深度贫困",AF:AF))</f>
        <v>0</v>
      </c>
      <c r="AG12" s="44">
        <f>SUM(SUMIF($C:$C,"贫困",AG:AG))+SUM(SUMIF($C:$C,"深度贫困",AG:AG))</f>
        <v>365</v>
      </c>
      <c r="AH12" s="44">
        <f>SUM(SUMIF($C:$C,"贫困",AH:AH))+SUM(SUMIF($C:$C,"深度贫困",AH:AH))</f>
        <v>0</v>
      </c>
      <c r="AI12" s="44">
        <f>SUM(SUMIF($C:$C,"贫困",AI:AI))+SUM(SUMIF($C:$C,"深度贫困",AI:AI))</f>
        <v>4500</v>
      </c>
      <c r="AJ12" s="115"/>
      <c r="AK12" s="44">
        <f>SUM(SUMIF($C:$C,"贫困",AK:AK))+SUM(SUMIF($C:$C,"深度贫困",AK:AK))</f>
        <v>5280.88762539588</v>
      </c>
      <c r="AL12" s="44">
        <f>SUM(SUMIF($C:$C,"贫困",AL:AL))+SUM(SUMIF($C:$C,"深度贫困",AL:AL))</f>
        <v>7969.38</v>
      </c>
      <c r="AM12" s="44">
        <f>SUM(SUMIF($C:$C,"贫困",AM:AM))+SUM(SUMIF($C:$C,"深度贫困",AM:AM))</f>
        <v>5294.11325569631</v>
      </c>
      <c r="AN12" s="67">
        <f>SUM(SUMIF($C:$C,"贫困",AN:AN))+SUM(SUMIF($C:$C,"深度贫困",AN:AN))</f>
        <v>279137</v>
      </c>
      <c r="AO12" s="67">
        <f t="shared" si="2"/>
        <v>-42277.76</v>
      </c>
      <c r="AP12" s="125">
        <f t="shared" si="0"/>
        <v>-0.131536460864461</v>
      </c>
      <c r="AQ12" s="44">
        <f>SUM(SUMIF($C:$C,"贫困",AQ:AQ))+SUM(SUMIF($C:$C,"深度贫困",AQ:AQ))</f>
        <v>102118.067129618</v>
      </c>
      <c r="AR12" s="198">
        <f t="shared" si="1"/>
        <v>0.576876526559966</v>
      </c>
      <c r="AS12" s="5">
        <f>AN12/88</f>
        <v>3172.01136363636</v>
      </c>
      <c r="AZ12" s="5" t="s">
        <v>61</v>
      </c>
      <c r="BA12" s="5">
        <v>0</v>
      </c>
    </row>
    <row r="13" ht="17" customHeight="1" spans="1:53">
      <c r="A13" s="29"/>
      <c r="B13" s="187" t="s">
        <v>62</v>
      </c>
      <c r="C13" s="31"/>
      <c r="D13" s="31"/>
      <c r="E13" s="31"/>
      <c r="F13" s="32"/>
      <c r="G13" s="28">
        <f>SUM(SUMIF($C:$C,"非贫困县",G:G))</f>
        <v>59884</v>
      </c>
      <c r="H13" s="44">
        <f>SUM(SUMIF($C:$C,"非贫困县",H:H))</f>
        <v>32981.0671296177</v>
      </c>
      <c r="I13" s="44">
        <f>SUM(SUMIF($C:$C,"非贫困县",I:I))</f>
        <v>588758</v>
      </c>
      <c r="J13" s="127">
        <f>SUM(SUMIF($C:$C,"非贫困县",J:J))</f>
        <v>117751.6</v>
      </c>
      <c r="K13" s="44">
        <f>SUM(SUMIF($C:$C,"非贫困县",K:K))</f>
        <v>117751.6</v>
      </c>
      <c r="L13" s="44">
        <f>SUM(SUMIF($C:$C,"非贫困县",L:L))</f>
        <v>0</v>
      </c>
      <c r="M13" s="44">
        <f>SUM(SUMIF($C:$C,"非贫困县",M:M))</f>
        <v>0</v>
      </c>
      <c r="N13" s="44">
        <f>SUM(SUMIF($C:$C,"非贫困县",N:N))</f>
        <v>0</v>
      </c>
      <c r="O13" s="44">
        <f>SUM(SUMIF($C:$C,"非贫困县",O:O))</f>
        <v>0</v>
      </c>
      <c r="P13" s="44">
        <f>SUM(SUMIF($C:$C,"非贫困县",P:P))</f>
        <v>67456</v>
      </c>
      <c r="Q13" s="44">
        <f>SUM(SUMIF($C:$C,"非贫困县",Q:Q))</f>
        <v>44624</v>
      </c>
      <c r="R13" s="44">
        <f>SUM(SUMIF($C:$C,"非贫困县",R:R))</f>
        <v>29774.4</v>
      </c>
      <c r="S13" s="44">
        <f>SUM(SUMIF($C:$C,"非贫困县",S:S))</f>
        <v>2144</v>
      </c>
      <c r="T13" s="44">
        <f>SUM(SUMIF($C:$C,"非贫困县",T:T))</f>
        <v>11342.4</v>
      </c>
      <c r="U13" s="44">
        <f>SUM(SUMIF($C:$C,"非贫困县",U:U))</f>
        <v>16288</v>
      </c>
      <c r="V13" s="44">
        <f>SUM(SUMIF($C:$C,"非贫困县",V:V))</f>
        <v>0</v>
      </c>
      <c r="W13" s="44">
        <f>SUM(SUMIF($C:$C,"非贫困县",W:W))</f>
        <v>3166.70127254645</v>
      </c>
      <c r="X13" s="67"/>
      <c r="Y13" s="115">
        <f>SUM(SUMIF($C:$C,"非贫困县",Y:Y))</f>
        <v>0</v>
      </c>
      <c r="Z13" s="44">
        <f>SUM(SUMIF($C:$C,"非贫困县",Z:Z))</f>
        <v>0</v>
      </c>
      <c r="AA13" s="67">
        <f>SUM(SUMIF($C:$C,"非贫困县",AA:AA))</f>
        <v>50</v>
      </c>
      <c r="AB13" s="44">
        <f>SUM(SUMIF($C:$C,"非贫困县",AB:AB))</f>
        <v>38530.4117647059</v>
      </c>
      <c r="AC13" s="44">
        <f>SUM(SUMIF($C:$C,"非贫困县",AC:AC))</f>
        <v>38530.4117647059</v>
      </c>
      <c r="AD13" s="44">
        <f>SUM(SUMIF($C:$C,"非贫困县",AD:AD))</f>
        <v>0</v>
      </c>
      <c r="AE13" s="44">
        <f>SUM(SUMIF($C:$C,"非贫困县",AE:AE))</f>
        <v>0</v>
      </c>
      <c r="AF13" s="44">
        <f>SUM(SUMIF($C:$C,"非贫困县",AF:AF))</f>
        <v>0</v>
      </c>
      <c r="AG13" s="44">
        <f>SUM(SUMIF($C:$C,"非贫困县",AG:AG))-AG22-AG23-AG24-AG25-AG26</f>
        <v>241</v>
      </c>
      <c r="AH13" s="44">
        <f>SUM(SUMIF($C:$C,"非贫困县",AH:AH))</f>
        <v>9347</v>
      </c>
      <c r="AI13" s="44">
        <f>SUM(SUMIF($C:$C,"非贫困县",AI:AI))</f>
        <v>500</v>
      </c>
      <c r="AJ13" s="115"/>
      <c r="AK13" s="44">
        <f>SUM(SUMIF($C:$C,"非贫困县",AK:AK))</f>
        <v>2204.68737460413</v>
      </c>
      <c r="AL13" s="44">
        <f>SUM(SUMIF($C:$C,"非贫困县",AL:AL))</f>
        <v>3298.87</v>
      </c>
      <c r="AM13" s="44">
        <f>SUM(SUMIF($C:$C,"非贫困县",AM:AM))</f>
        <v>2191.46174430369</v>
      </c>
      <c r="AN13" s="67">
        <f>SUM(SUMIF($C:$C,"非贫困县",AN:AN))</f>
        <v>46595</v>
      </c>
      <c r="AO13" s="67">
        <f t="shared" si="2"/>
        <v>-13289</v>
      </c>
      <c r="AP13" s="125">
        <f t="shared" si="0"/>
        <v>-0.221912363903547</v>
      </c>
      <c r="AQ13" s="44">
        <f>SUM(SUMIF($C:$C,"非贫困县",AQ:AQ))</f>
        <v>13613.9328703823</v>
      </c>
      <c r="AR13" s="198">
        <f t="shared" si="1"/>
        <v>0.412780241975757</v>
      </c>
      <c r="AS13" s="5">
        <f>AN13/41</f>
        <v>1136.46341463415</v>
      </c>
      <c r="AZ13" s="5" t="s">
        <v>63</v>
      </c>
      <c r="BA13" s="5">
        <v>0</v>
      </c>
    </row>
    <row r="14" s="5" customFormat="1" ht="17" customHeight="1" spans="1:53">
      <c r="A14" s="29"/>
      <c r="B14" s="187" t="s">
        <v>64</v>
      </c>
      <c r="C14" s="31"/>
      <c r="D14" s="31"/>
      <c r="E14" s="31"/>
      <c r="F14" s="32"/>
      <c r="G14" s="28">
        <f>SUM(SUMIF($E:$E,"国家",G:G))+SUM(SUMIF($E:$E,"省级",G:G))</f>
        <v>281113.76</v>
      </c>
      <c r="H14" s="44">
        <f>SUM(SUMIF($E:$E,"国家",H:H))+SUM(SUMIF($E:$E,"省级",H:H))</f>
        <v>154823.187990436</v>
      </c>
      <c r="I14" s="44">
        <f>SUM(SUMIF($E:$E,"国家",I:I))+SUM(SUMIF($E:$E,"省级",I:I))</f>
        <v>4934288</v>
      </c>
      <c r="J14" s="127">
        <f>SUM(SUMIF($E:$E,"国家",J:J))+SUM(SUMIF($E:$E,"省级",J:J))</f>
        <v>4018602.2</v>
      </c>
      <c r="K14" s="44">
        <f>SUM(SUMIF($E:$E,"国家",K:K))+SUM(SUMIF($E:$E,"省级",K:K))</f>
        <v>0</v>
      </c>
      <c r="L14" s="44">
        <f>SUM(SUMIF($E:$E,"国家",L:L))+SUM(SUMIF($E:$E,"省级",L:L))</f>
        <v>71812.4</v>
      </c>
      <c r="M14" s="44">
        <f>SUM(SUMIF($E:$E,"国家",M:M))+SUM(SUMIF($E:$E,"省级",M:M))</f>
        <v>440415</v>
      </c>
      <c r="N14" s="44">
        <f>SUM(SUMIF($E:$E,"国家",N:N))+SUM(SUMIF($E:$E,"省级",N:N))</f>
        <v>2057428.8</v>
      </c>
      <c r="O14" s="44">
        <f>SUM(SUMIF($E:$E,"国家",O:O))+SUM(SUMIF($E:$E,"省级",O:O))</f>
        <v>1448946</v>
      </c>
      <c r="P14" s="44">
        <f>SUM(SUMIF($E:$E,"国家",P:P))+SUM(SUMIF($E:$E,"省级",P:P))</f>
        <v>621151</v>
      </c>
      <c r="Q14" s="44">
        <f>SUM(SUMIF($E:$E,"国家",Q:Q))+SUM(SUMIF($E:$E,"省级",Q:Q))</f>
        <v>802791</v>
      </c>
      <c r="R14" s="44">
        <f>SUM(SUMIF($E:$E,"国家",R:R))+SUM(SUMIF($E:$E,"省级",R:R))</f>
        <v>773026.6</v>
      </c>
      <c r="S14" s="44">
        <f>SUM(SUMIF($E:$E,"国家",S:S))+SUM(SUMIF($E:$E,"省级",S:S))</f>
        <v>351.2</v>
      </c>
      <c r="T14" s="44">
        <f>SUM(SUMIF($E:$E,"国家",T:T))+SUM(SUMIF($E:$E,"省级",T:T))</f>
        <v>12136.8</v>
      </c>
      <c r="U14" s="44">
        <f>SUM(SUMIF($E:$E,"国家",U:U))+SUM(SUMIF($E:$E,"省级",U:U))</f>
        <v>84585.6</v>
      </c>
      <c r="V14" s="44">
        <f>SUM(SUMIF($E:$E,"国家",V:V))+SUM(SUMIF($E:$E,"省级",V:V))</f>
        <v>675953</v>
      </c>
      <c r="W14" s="44">
        <f>SUM(SUMIF($E:$E,"国家",W:W))+SUM(SUMIF($E:$E,"省级",W:W))</f>
        <v>73948.7670280373</v>
      </c>
      <c r="X14" s="67">
        <f>SUM(SUMIF($E:$E,"国家",X:X))+SUM(SUMIF($E:$E,"省级",X:X))</f>
        <v>644702</v>
      </c>
      <c r="Y14" s="115">
        <f>SUM(SUMIF($E:$E,"国家",Y:Y))+SUM(SUMIF($E:$E,"省级",Y:Y))</f>
        <v>17.3044465468307</v>
      </c>
      <c r="Z14" s="44">
        <f>SUM(SUMIF($E:$E,"国家",Z:Z))+SUM(SUMIF($E:$E,"省级",Z:Z))</f>
        <v>43042.1739107199</v>
      </c>
      <c r="AA14" s="67">
        <f>SUM(SUMIF($E:$E,"国家",AA:AA))+SUM(SUMIF($E:$E,"省级",AA:AA))</f>
        <v>251</v>
      </c>
      <c r="AB14" s="44">
        <f>SUM(SUMIF($E:$E,"国家",AB:AB))+SUM(SUMIF($E:$E,"省级",AB:AB))</f>
        <v>36088.9117647058</v>
      </c>
      <c r="AC14" s="44">
        <f>SUM(SUMIF($E:$E,"国家",AC:AC))+SUM(SUMIF($E:$E,"省级",AC:AC))</f>
        <v>36088.9117647058</v>
      </c>
      <c r="AD14" s="44">
        <f>SUM(SUMIF($E:$E,"国家",AD:AD))+SUM(SUMIF($E:$E,"省级",AD:AD))</f>
        <v>4018602.2</v>
      </c>
      <c r="AE14" s="44">
        <f>SUM(SUMIF($E:$E,"国家",AE:AE))+SUM(SUMIF($E:$E,"省级",AE:AE))</f>
        <v>45864.4161134188</v>
      </c>
      <c r="AF14" s="44">
        <f>SUM(SUMIF($E:$E,"国家",AF:AF))+SUM(SUMIF($E:$E,"省级",AF:AF))</f>
        <v>0</v>
      </c>
      <c r="AG14" s="44">
        <f>SUM(SUMIF($E:$E,"国家",AG:AG))+SUM(SUMIF($E:$E,"省级",AG:AG))</f>
        <v>227</v>
      </c>
      <c r="AH14" s="44">
        <f>SUM(SUMIF($E:$E,"国家",AH:AH))+SUM(SUMIF($E:$E,"省级",AH:AH))</f>
        <v>0</v>
      </c>
      <c r="AI14" s="44">
        <f>SUM(SUMIF($E:$E,"国家",AI:AI))+SUM(SUMIF($E:$E,"省级",AI:AI))</f>
        <v>2000</v>
      </c>
      <c r="AJ14" s="115"/>
      <c r="AK14" s="44">
        <f>SUM(SUMIF($E:$E,"国家",AK:AK))+SUM(SUMIF($E:$E,"省级",AK:AK))</f>
        <v>3422.23574236887</v>
      </c>
      <c r="AL14" s="44">
        <f>SUM(SUMIF($E:$E,"国家",AL:AL))+SUM(SUMIF($E:$E,"省级",AL:AL))</f>
        <v>5129.96</v>
      </c>
      <c r="AM14" s="44">
        <f>SUM(SUMIF($E:$E,"国家",AM:AM))+SUM(SUMIF($E:$E,"省级",AM:AM))</f>
        <v>3407.86726661194</v>
      </c>
      <c r="AN14" s="67">
        <f>SUM(SUMIF($E:$E,"国家",AN:AN))+SUM(SUMIF($E:$E,"省级",AN:AN))</f>
        <v>207772</v>
      </c>
      <c r="AO14" s="67">
        <f t="shared" si="2"/>
        <v>-73341.76</v>
      </c>
      <c r="AP14" s="125">
        <f t="shared" si="0"/>
        <v>-0.260897083088355</v>
      </c>
      <c r="AQ14" s="44">
        <f>SUM(SUMIF($E:$E,"国家",AQ:AQ))+SUM(SUMIF($E:$E,"省级",AQ:AQ))</f>
        <v>52948.8120095644</v>
      </c>
      <c r="AR14" s="198">
        <f t="shared" si="1"/>
        <v>0.341995360622823</v>
      </c>
      <c r="AS14" s="199"/>
      <c r="AZ14" s="5" t="s">
        <v>65</v>
      </c>
      <c r="BA14" s="5">
        <v>6714.43</v>
      </c>
    </row>
    <row r="15" s="5" customFormat="1" ht="17" customHeight="1" spans="1:53">
      <c r="A15" s="29"/>
      <c r="B15" s="187" t="s">
        <v>66</v>
      </c>
      <c r="C15" s="31"/>
      <c r="D15" s="31"/>
      <c r="E15" s="31"/>
      <c r="F15" s="32"/>
      <c r="G15" s="28">
        <f>SUM(SUMIF($E:$E,"国家",G:G))</f>
        <v>211045.76</v>
      </c>
      <c r="H15" s="44">
        <f>SUM(SUMIF($E:$E,"国家",H:H))</f>
        <v>116233.290661632</v>
      </c>
      <c r="I15" s="44">
        <f>SUM(SUMIF($E:$E,"国家",I:I))</f>
        <v>3329899</v>
      </c>
      <c r="J15" s="127">
        <f>SUM(SUMIF($E:$E,"国家",J:J))</f>
        <v>2915211.2</v>
      </c>
      <c r="K15" s="44">
        <f>SUM(SUMIF($E:$E,"国家",K:K))</f>
        <v>0</v>
      </c>
      <c r="L15" s="44">
        <f>SUM(SUMIF($E:$E,"国家",L:L))</f>
        <v>0</v>
      </c>
      <c r="M15" s="44">
        <f>SUM(SUMIF($E:$E,"国家",M:M))</f>
        <v>73326.6</v>
      </c>
      <c r="N15" s="44">
        <f>SUM(SUMIF($E:$E,"国家",N:N))</f>
        <v>1463213.6</v>
      </c>
      <c r="O15" s="44">
        <f>SUM(SUMIF($E:$E,"国家",O:O))</f>
        <v>1378671</v>
      </c>
      <c r="P15" s="44">
        <f>SUM(SUMIF($E:$E,"国家",P:P))</f>
        <v>449822</v>
      </c>
      <c r="Q15" s="44">
        <f>SUM(SUMIF($E:$E,"国家",Q:Q))</f>
        <v>648468</v>
      </c>
      <c r="R15" s="44">
        <f>SUM(SUMIF($E:$E,"国家",R:R))</f>
        <v>640225.8</v>
      </c>
      <c r="S15" s="44">
        <f>SUM(SUMIF($E:$E,"国家",S:S))</f>
        <v>0</v>
      </c>
      <c r="T15" s="44">
        <f>SUM(SUMIF($E:$E,"国家",T:T))</f>
        <v>1392.6</v>
      </c>
      <c r="U15" s="44">
        <f>SUM(SUMIF($E:$E,"国家",U:U))</f>
        <v>29255.2</v>
      </c>
      <c r="V15" s="44">
        <f>SUM(SUMIF($E:$E,"国家",V:V))</f>
        <v>609578</v>
      </c>
      <c r="W15" s="44">
        <f>SUM(SUMIF($E:$E,"国家",W:W))</f>
        <v>54908.5616503275</v>
      </c>
      <c r="X15" s="67">
        <f>SUM(SUMIF($E:$E,"国家",X:X))</f>
        <v>286175</v>
      </c>
      <c r="Y15" s="115">
        <f>SUM(SUMIF($E:$E,"国家",Y:Y))</f>
        <v>11.7614001892148</v>
      </c>
      <c r="Z15" s="44">
        <f>SUM(SUMIF($E:$E,"国家",Z:Z))</f>
        <v>29254.6907529079</v>
      </c>
      <c r="AA15" s="67">
        <f>SUM(SUMIF($E:$E,"国家",AA:AA))</f>
        <v>133</v>
      </c>
      <c r="AB15" s="44">
        <f>SUM(SUMIF($E:$E,"国家",AB:AB))</f>
        <v>1235.91176470588</v>
      </c>
      <c r="AC15" s="44">
        <f>SUM(SUMIF($E:$E,"国家",AC:AC))</f>
        <v>1235.91176470588</v>
      </c>
      <c r="AD15" s="44">
        <f>SUM(SUMIF($E:$E,"国家",AD:AD))</f>
        <v>2915211.2</v>
      </c>
      <c r="AE15" s="44">
        <f>SUM(SUMIF($E:$E,"国家",AE:AE))</f>
        <v>38220.2684704072</v>
      </c>
      <c r="AF15" s="44">
        <f>SUM(SUMIF($E:$E,"国家",AF:AF))</f>
        <v>0</v>
      </c>
      <c r="AG15" s="44">
        <f>SUM(SUMIF($E:$E,"国家",AG:AG))</f>
        <v>116</v>
      </c>
      <c r="AH15" s="44">
        <f>SUM(SUMIF($E:$E,"国家",AH:AH))</f>
        <v>0</v>
      </c>
      <c r="AI15" s="44">
        <f>SUM(SUMIF($E:$E,"国家",AI:AI))</f>
        <v>1000</v>
      </c>
      <c r="AJ15" s="115"/>
      <c r="AK15" s="44">
        <f>SUM(SUMIF($E:$E,"国家",AK:AK))</f>
        <v>1633.06857029171</v>
      </c>
      <c r="AL15" s="44">
        <f>SUM(SUMIF($E:$E,"国家",AL:AL))</f>
        <v>2400.46</v>
      </c>
      <c r="AM15" s="44">
        <f>SUM(SUMIF($E:$E,"国家",AM:AM))</f>
        <v>1594.64188001686</v>
      </c>
      <c r="AN15" s="67">
        <f>SUM(SUMIF($E:$E,"国家",AN:AN))</f>
        <v>127847</v>
      </c>
      <c r="AO15" s="67">
        <f t="shared" si="2"/>
        <v>-83198.76</v>
      </c>
      <c r="AP15" s="125">
        <f t="shared" si="0"/>
        <v>-0.394221423827704</v>
      </c>
      <c r="AQ15" s="44">
        <f>SUM(SUMIF($E:$E,"国家",AQ:AQ))</f>
        <v>11613.7093383676</v>
      </c>
      <c r="AR15" s="198">
        <f t="shared" si="1"/>
        <v>0.0999172377574376</v>
      </c>
      <c r="AS15" s="199"/>
      <c r="AZ15" s="5" t="s">
        <v>67</v>
      </c>
      <c r="BA15" s="5">
        <v>0</v>
      </c>
    </row>
    <row r="16" s="5" customFormat="1" ht="17" customHeight="1" spans="1:53">
      <c r="A16" s="29"/>
      <c r="B16" s="187" t="s">
        <v>68</v>
      </c>
      <c r="C16" s="31"/>
      <c r="D16" s="31"/>
      <c r="E16" s="31"/>
      <c r="F16" s="32"/>
      <c r="G16" s="28">
        <f>SUM(SUMIF($E:$E,"省级",G:G))</f>
        <v>70068</v>
      </c>
      <c r="H16" s="44">
        <f>SUM(SUMIF($E:$E,"省级",H:H))</f>
        <v>38589.8973288033</v>
      </c>
      <c r="I16" s="44">
        <f>SUM(SUMIF($E:$E,"省级",I:I))</f>
        <v>1604389</v>
      </c>
      <c r="J16" s="127">
        <f>SUM(SUMIF($E:$E,"省级",J:J))</f>
        <v>1103391</v>
      </c>
      <c r="K16" s="44">
        <f>SUM(SUMIF($E:$E,"省级",K:K))</f>
        <v>0</v>
      </c>
      <c r="L16" s="44">
        <f>SUM(SUMIF($E:$E,"省级",L:L))</f>
        <v>71812.4</v>
      </c>
      <c r="M16" s="44">
        <f>SUM(SUMIF($E:$E,"省级",M:M))</f>
        <v>367088.4</v>
      </c>
      <c r="N16" s="44">
        <f>SUM(SUMIF($E:$E,"省级",N:N))</f>
        <v>594215.2</v>
      </c>
      <c r="O16" s="44">
        <f>SUM(SUMIF($E:$E,"省级",O:O))</f>
        <v>70275</v>
      </c>
      <c r="P16" s="44">
        <f>SUM(SUMIF($E:$E,"省级",P:P))</f>
        <v>171329</v>
      </c>
      <c r="Q16" s="44">
        <f>SUM(SUMIF($E:$E,"省级",Q:Q))</f>
        <v>154323</v>
      </c>
      <c r="R16" s="44">
        <f>SUM(SUMIF($E:$E,"省级",R:R))</f>
        <v>132800.8</v>
      </c>
      <c r="S16" s="44">
        <f>SUM(SUMIF($E:$E,"省级",S:S))</f>
        <v>351.2</v>
      </c>
      <c r="T16" s="44">
        <f>SUM(SUMIF($E:$E,"省级",T:T))</f>
        <v>10744.2</v>
      </c>
      <c r="U16" s="44">
        <f>SUM(SUMIF($E:$E,"省级",U:U))</f>
        <v>55330.4</v>
      </c>
      <c r="V16" s="44">
        <f>SUM(SUMIF($E:$E,"省级",V:V))</f>
        <v>66375</v>
      </c>
      <c r="W16" s="44">
        <f>SUM(SUMIF($E:$E,"省级",W:W))</f>
        <v>19040.2053777098</v>
      </c>
      <c r="X16" s="67">
        <f>SUM(SUMIF($E:$E,"省级",X:X))</f>
        <v>358527</v>
      </c>
      <c r="Y16" s="115">
        <f>SUM(SUMIF($E:$E,"省级",Y:Y))</f>
        <v>5.54304635761589</v>
      </c>
      <c r="Z16" s="44">
        <f>SUM(SUMIF($E:$E,"省级",Z:Z))</f>
        <v>13787.483157812</v>
      </c>
      <c r="AA16" s="67">
        <f>SUM(SUMIF($E:$E,"省级",AA:AA))</f>
        <v>118</v>
      </c>
      <c r="AB16" s="44">
        <f>SUM(SUMIF($E:$E,"省级",AB:AB))</f>
        <v>34852.9999999999</v>
      </c>
      <c r="AC16" s="44">
        <f>SUM(SUMIF($E:$E,"省级",AC:AC))</f>
        <v>34852.9999999999</v>
      </c>
      <c r="AD16" s="44">
        <f>SUM(SUMIF($E:$E,"省级",AD:AD))</f>
        <v>1103391</v>
      </c>
      <c r="AE16" s="44">
        <f>SUM(SUMIF($E:$E,"省级",AE:AE))</f>
        <v>7644.14764301167</v>
      </c>
      <c r="AF16" s="44">
        <f>SUM(SUMIF($E:$E,"省级",AF:AF))</f>
        <v>0</v>
      </c>
      <c r="AG16" s="44">
        <f>SUM(SUMIF($E:$E,"省级",AG:AG))</f>
        <v>111</v>
      </c>
      <c r="AH16" s="44">
        <f>SUM(SUMIF($E:$E,"省级",AH:AH))</f>
        <v>0</v>
      </c>
      <c r="AI16" s="44">
        <f>SUM(SUMIF($E:$E,"省级",AI:AI))</f>
        <v>1000</v>
      </c>
      <c r="AJ16" s="115"/>
      <c r="AK16" s="44">
        <f>SUM(SUMIF($E:$E,"省级",AK:AK))</f>
        <v>1789.16717207715</v>
      </c>
      <c r="AL16" s="44">
        <f>SUM(SUMIF($E:$E,"省级",AL:AL))</f>
        <v>2729.5</v>
      </c>
      <c r="AM16" s="44">
        <f>SUM(SUMIF($E:$E,"省级",AM:AM))</f>
        <v>1813.22538659508</v>
      </c>
      <c r="AN16" s="67">
        <f>SUM(SUMIF($E:$E,"省级",AN:AN))</f>
        <v>79925</v>
      </c>
      <c r="AO16" s="67">
        <f t="shared" si="2"/>
        <v>9857</v>
      </c>
      <c r="AP16" s="125">
        <f t="shared" si="0"/>
        <v>0.140677627447622</v>
      </c>
      <c r="AQ16" s="44">
        <f>SUM(SUMIF($E:$E,"省级",AQ:AQ))</f>
        <v>41335.1026711967</v>
      </c>
      <c r="AR16" s="198">
        <f t="shared" si="1"/>
        <v>1.07113792812152</v>
      </c>
      <c r="AZ16" s="5" t="s">
        <v>69</v>
      </c>
      <c r="BA16" s="5">
        <v>10</v>
      </c>
    </row>
    <row r="17" s="5" customFormat="1" ht="17" customHeight="1" spans="1:53">
      <c r="A17" s="29"/>
      <c r="B17" s="187" t="s">
        <v>70</v>
      </c>
      <c r="C17" s="31"/>
      <c r="D17" s="31"/>
      <c r="E17" s="31"/>
      <c r="F17" s="32"/>
      <c r="G17" s="28">
        <f>SUM(SUMIF($F:$F,"是",G:G))</f>
        <v>93795</v>
      </c>
      <c r="H17" s="44">
        <f>SUM(SUMIF($F:$F,"是",H:H))</f>
        <v>51657.5244042231</v>
      </c>
      <c r="I17" s="44">
        <f t="shared" ref="I17:AI17" si="3">SUM(SUMIF($F:$F,"是",I:I))</f>
        <v>1247069</v>
      </c>
      <c r="J17" s="127">
        <f t="shared" si="3"/>
        <v>927342.6</v>
      </c>
      <c r="K17" s="44">
        <f t="shared" si="3"/>
        <v>17309.6</v>
      </c>
      <c r="L17" s="44">
        <f t="shared" si="3"/>
        <v>19292.8</v>
      </c>
      <c r="M17" s="44">
        <f t="shared" si="3"/>
        <v>189571.8</v>
      </c>
      <c r="N17" s="44">
        <f t="shared" si="3"/>
        <v>380670.4</v>
      </c>
      <c r="O17" s="44">
        <f t="shared" si="3"/>
        <v>320498</v>
      </c>
      <c r="P17" s="44">
        <f t="shared" si="3"/>
        <v>164491</v>
      </c>
      <c r="Q17" s="44">
        <f t="shared" si="3"/>
        <v>162681</v>
      </c>
      <c r="R17" s="44">
        <f t="shared" si="3"/>
        <v>149996.8</v>
      </c>
      <c r="S17" s="44">
        <f t="shared" si="3"/>
        <v>684.8</v>
      </c>
      <c r="T17" s="44">
        <f t="shared" si="3"/>
        <v>1669.2</v>
      </c>
      <c r="U17" s="44">
        <f t="shared" si="3"/>
        <v>42176.8</v>
      </c>
      <c r="V17" s="44">
        <f t="shared" si="3"/>
        <v>105466</v>
      </c>
      <c r="W17" s="44">
        <f t="shared" si="3"/>
        <v>16988.1510529717</v>
      </c>
      <c r="X17" s="67">
        <f t="shared" si="3"/>
        <v>303154</v>
      </c>
      <c r="Y17" s="115">
        <f t="shared" si="3"/>
        <v>5.49877010406812</v>
      </c>
      <c r="Z17" s="44">
        <f t="shared" si="3"/>
        <v>13677.3527239862</v>
      </c>
      <c r="AA17" s="67">
        <f t="shared" si="3"/>
        <v>374</v>
      </c>
      <c r="AB17" s="44">
        <f t="shared" si="3"/>
        <v>125155.323529412</v>
      </c>
      <c r="AC17" s="44">
        <f t="shared" si="3"/>
        <v>125155.323529412</v>
      </c>
      <c r="AD17" s="67">
        <f t="shared" si="3"/>
        <v>800095.8</v>
      </c>
      <c r="AE17" s="115">
        <f t="shared" si="3"/>
        <v>13115.5806671508</v>
      </c>
      <c r="AF17" s="44">
        <f t="shared" si="3"/>
        <v>0</v>
      </c>
      <c r="AG17" s="44">
        <f t="shared" si="3"/>
        <v>0</v>
      </c>
      <c r="AH17" s="44">
        <f t="shared" si="3"/>
        <v>0</v>
      </c>
      <c r="AI17" s="44">
        <f t="shared" si="3"/>
        <v>2000</v>
      </c>
      <c r="AJ17" s="115"/>
      <c r="AK17" s="44">
        <f t="shared" ref="AK17:AN17" si="4">SUM(SUMIF($F:$F,"是",AK:AK))</f>
        <v>1514.76418386558</v>
      </c>
      <c r="AL17" s="67">
        <f t="shared" si="4"/>
        <v>2277.87</v>
      </c>
      <c r="AM17" s="44">
        <f t="shared" si="4"/>
        <v>1513.20451048299</v>
      </c>
      <c r="AN17" s="67">
        <f t="shared" si="4"/>
        <v>173963</v>
      </c>
      <c r="AO17" s="67">
        <f t="shared" si="2"/>
        <v>80168</v>
      </c>
      <c r="AP17" s="125">
        <f t="shared" si="0"/>
        <v>0.854715070099686</v>
      </c>
      <c r="AQ17" s="44">
        <f>SUM(SUMIF($F:$F,"是",AQ:AQ))</f>
        <v>122305.475595777</v>
      </c>
      <c r="AR17" s="198">
        <f t="shared" si="1"/>
        <v>2.36762169705868</v>
      </c>
      <c r="AS17" s="5">
        <f>AN17/25</f>
        <v>6958.52</v>
      </c>
      <c r="AT17" s="5">
        <f>(AN9-AN17)/104</f>
        <v>1459.31730769231</v>
      </c>
      <c r="AZ17" s="5" t="s">
        <v>71</v>
      </c>
      <c r="BA17" s="5">
        <v>256</v>
      </c>
    </row>
    <row r="18" s="6" customFormat="1" ht="17" customHeight="1" spans="1:75">
      <c r="A18" s="39"/>
      <c r="B18" s="40" t="s">
        <v>72</v>
      </c>
      <c r="C18" s="41">
        <v>1</v>
      </c>
      <c r="D18" s="41"/>
      <c r="E18" s="41"/>
      <c r="F18" s="42"/>
      <c r="G18" s="43">
        <f t="shared" ref="G18:I18" si="5">G19+G20</f>
        <v>11966.43</v>
      </c>
      <c r="H18" s="43">
        <f t="shared" si="5"/>
        <v>6590.50215636683</v>
      </c>
      <c r="I18" s="43">
        <f t="shared" si="5"/>
        <v>314463</v>
      </c>
      <c r="J18" s="43">
        <f t="shared" ref="I18:O18" si="6">J19+J20</f>
        <v>157295.2</v>
      </c>
      <c r="K18" s="43">
        <f t="shared" si="6"/>
        <v>3450.8</v>
      </c>
      <c r="L18" s="43">
        <f t="shared" si="6"/>
        <v>48962</v>
      </c>
      <c r="M18" s="43">
        <f t="shared" si="6"/>
        <v>104882.4</v>
      </c>
      <c r="N18" s="43">
        <f t="shared" si="6"/>
        <v>0</v>
      </c>
      <c r="O18" s="43">
        <f t="shared" si="6"/>
        <v>0</v>
      </c>
      <c r="P18" s="43">
        <v>25920</v>
      </c>
      <c r="Q18" s="43">
        <f t="shared" ref="Q18:W18" si="7">Q19+Q20</f>
        <v>23091</v>
      </c>
      <c r="R18" s="43">
        <f t="shared" si="7"/>
        <v>21038.4</v>
      </c>
      <c r="S18" s="43">
        <f t="shared" si="7"/>
        <v>122</v>
      </c>
      <c r="T18" s="43">
        <f t="shared" si="7"/>
        <v>2804.4</v>
      </c>
      <c r="U18" s="43">
        <f t="shared" si="7"/>
        <v>0</v>
      </c>
      <c r="V18" s="43">
        <f t="shared" si="7"/>
        <v>18112</v>
      </c>
      <c r="W18" s="43">
        <f t="shared" si="7"/>
        <v>2775.07626258694</v>
      </c>
      <c r="X18" s="68"/>
      <c r="Y18" s="116">
        <f t="shared" ref="Y18:AI18" si="8">Y19+Y20</f>
        <v>1.30236518448439</v>
      </c>
      <c r="Z18" s="43">
        <f t="shared" si="8"/>
        <v>3239.43494027036</v>
      </c>
      <c r="AA18" s="68">
        <v>0</v>
      </c>
      <c r="AB18" s="43">
        <f t="shared" si="8"/>
        <v>0</v>
      </c>
      <c r="AC18" s="43">
        <f t="shared" si="8"/>
        <v>0</v>
      </c>
      <c r="AD18" s="68">
        <f t="shared" si="8"/>
        <v>153844.4</v>
      </c>
      <c r="AE18" s="43">
        <f t="shared" si="8"/>
        <v>1107.39061333821</v>
      </c>
      <c r="AF18" s="43">
        <f t="shared" si="8"/>
        <v>0</v>
      </c>
      <c r="AG18" s="43">
        <f t="shared" si="8"/>
        <v>78</v>
      </c>
      <c r="AH18" s="43">
        <f t="shared" si="8"/>
        <v>1590.15352697095</v>
      </c>
      <c r="AI18" s="43">
        <f t="shared" si="8"/>
        <v>0</v>
      </c>
      <c r="AJ18" s="116"/>
      <c r="AK18" s="43">
        <f t="shared" ref="AK18:AO18" si="9">AK19+AK20</f>
        <v>549.042602754794</v>
      </c>
      <c r="AL18" s="68">
        <f t="shared" si="9"/>
        <v>783.63</v>
      </c>
      <c r="AM18" s="43">
        <f t="shared" si="9"/>
        <v>520.57073079227</v>
      </c>
      <c r="AN18" s="68">
        <f t="shared" si="9"/>
        <v>8192</v>
      </c>
      <c r="AO18" s="68">
        <f t="shared" si="9"/>
        <v>-3774.43</v>
      </c>
      <c r="AP18" s="125">
        <f t="shared" si="0"/>
        <v>-0.315418215792012</v>
      </c>
      <c r="AQ18" s="116">
        <f>AQ19+AQ20</f>
        <v>1601.49784363316</v>
      </c>
      <c r="AR18" s="198">
        <f t="shared" si="1"/>
        <v>0.243000883033779</v>
      </c>
      <c r="AS18" s="5"/>
      <c r="AT18" s="5"/>
      <c r="AU18" s="5"/>
      <c r="AV18" s="5"/>
      <c r="AW18" s="5"/>
      <c r="AX18" s="5"/>
      <c r="AY18" s="5"/>
      <c r="AZ18" s="5" t="s">
        <v>73</v>
      </c>
      <c r="BA18" s="5">
        <v>176</v>
      </c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</row>
    <row r="19" ht="17" customHeight="1" spans="1:53">
      <c r="A19" s="29"/>
      <c r="B19" s="30" t="s">
        <v>74</v>
      </c>
      <c r="C19" s="31">
        <v>2</v>
      </c>
      <c r="D19" s="31"/>
      <c r="E19" s="31"/>
      <c r="F19" s="32"/>
      <c r="G19" s="189"/>
      <c r="H19" s="189"/>
      <c r="I19" s="189"/>
      <c r="J19" s="44"/>
      <c r="K19" s="44"/>
      <c r="L19" s="44"/>
      <c r="M19" s="44"/>
      <c r="N19" s="44"/>
      <c r="O19" s="44"/>
      <c r="P19" s="44"/>
      <c r="Q19" s="44"/>
      <c r="R19" s="44">
        <f>N19*0.4+O19*0.6+P19*0.8+Q19*1</f>
        <v>0</v>
      </c>
      <c r="S19" s="44">
        <f>Q19-T19-U19-V19</f>
        <v>0</v>
      </c>
      <c r="T19" s="44"/>
      <c r="U19" s="44"/>
      <c r="V19" s="44"/>
      <c r="W19" s="44"/>
      <c r="X19" s="67"/>
      <c r="Y19" s="115"/>
      <c r="Z19" s="44"/>
      <c r="AA19" s="67"/>
      <c r="AB19" s="44"/>
      <c r="AC19" s="44"/>
      <c r="AD19" s="67"/>
      <c r="AE19" s="44"/>
      <c r="AF19" s="44"/>
      <c r="AG19" s="44"/>
      <c r="AH19" s="44"/>
      <c r="AI19" s="44"/>
      <c r="AJ19" s="115"/>
      <c r="AK19" s="44">
        <f>AJ19/$AJ$9*0.05*200000</f>
        <v>0</v>
      </c>
      <c r="AL19" s="67"/>
      <c r="AM19" s="44">
        <f>(AL19/$AL$9)*0.05*200000</f>
        <v>0</v>
      </c>
      <c r="AN19" s="67">
        <f>ROUND(AM19+AK19+AE19+AC19+Z19+W19,0)</f>
        <v>0</v>
      </c>
      <c r="AO19" s="67">
        <f t="shared" ref="AO19:AO34" si="10">AN19-G19</f>
        <v>0</v>
      </c>
      <c r="AP19" s="125" t="e">
        <f t="shared" si="0"/>
        <v>#DIV/0!</v>
      </c>
      <c r="AQ19" s="115">
        <f t="shared" ref="AQ19:AQ34" si="11">AN19-H19</f>
        <v>0</v>
      </c>
      <c r="AR19" s="198"/>
      <c r="AZ19" s="5" t="s">
        <v>75</v>
      </c>
      <c r="BA19" s="5">
        <v>157</v>
      </c>
    </row>
    <row r="20" s="7" customFormat="1" ht="17" customHeight="1" spans="1:75">
      <c r="A20" s="45"/>
      <c r="B20" s="46" t="s">
        <v>76</v>
      </c>
      <c r="C20" s="47">
        <v>3</v>
      </c>
      <c r="D20" s="47"/>
      <c r="E20" s="47"/>
      <c r="F20" s="48"/>
      <c r="G20" s="49">
        <f>SUM(G21:G34)</f>
        <v>11966.43</v>
      </c>
      <c r="H20" s="49">
        <f>SUM(H21:H34)</f>
        <v>6590.50215636683</v>
      </c>
      <c r="I20" s="49">
        <f t="shared" ref="I20:O20" si="12">SUM(I21:I34)</f>
        <v>314463</v>
      </c>
      <c r="J20" s="49">
        <f t="shared" si="12"/>
        <v>157295.2</v>
      </c>
      <c r="K20" s="49">
        <f t="shared" si="12"/>
        <v>3450.8</v>
      </c>
      <c r="L20" s="49">
        <f t="shared" si="12"/>
        <v>48962</v>
      </c>
      <c r="M20" s="49">
        <f t="shared" si="12"/>
        <v>104882.4</v>
      </c>
      <c r="N20" s="49">
        <f t="shared" si="12"/>
        <v>0</v>
      </c>
      <c r="O20" s="49">
        <f t="shared" si="12"/>
        <v>0</v>
      </c>
      <c r="P20" s="49">
        <v>25920</v>
      </c>
      <c r="Q20" s="49">
        <f t="shared" ref="Q20:W20" si="13">SUM(Q21:Q34)</f>
        <v>23091</v>
      </c>
      <c r="R20" s="49">
        <f t="shared" si="13"/>
        <v>21038.4</v>
      </c>
      <c r="S20" s="49">
        <f t="shared" si="13"/>
        <v>122</v>
      </c>
      <c r="T20" s="49">
        <f t="shared" si="13"/>
        <v>2804.4</v>
      </c>
      <c r="U20" s="49">
        <f t="shared" si="13"/>
        <v>0</v>
      </c>
      <c r="V20" s="49">
        <f t="shared" si="13"/>
        <v>18112</v>
      </c>
      <c r="W20" s="49">
        <f t="shared" si="13"/>
        <v>2775.07626258694</v>
      </c>
      <c r="X20" s="70"/>
      <c r="Y20" s="117">
        <f t="shared" ref="Y20:AI20" si="14">SUM(Y21:Y34)</f>
        <v>1.30236518448439</v>
      </c>
      <c r="Z20" s="49">
        <f t="shared" si="14"/>
        <v>3239.43494027036</v>
      </c>
      <c r="AA20" s="70">
        <v>0</v>
      </c>
      <c r="AB20" s="49">
        <f t="shared" si="14"/>
        <v>0</v>
      </c>
      <c r="AC20" s="49">
        <f t="shared" si="14"/>
        <v>0</v>
      </c>
      <c r="AD20" s="70">
        <f t="shared" si="14"/>
        <v>153844.4</v>
      </c>
      <c r="AE20" s="49">
        <f t="shared" si="14"/>
        <v>1107.39061333821</v>
      </c>
      <c r="AF20" s="49">
        <f t="shared" si="14"/>
        <v>0</v>
      </c>
      <c r="AG20" s="49">
        <f t="shared" si="14"/>
        <v>78</v>
      </c>
      <c r="AH20" s="49">
        <f t="shared" si="14"/>
        <v>1590.15352697095</v>
      </c>
      <c r="AI20" s="49">
        <f t="shared" si="14"/>
        <v>0</v>
      </c>
      <c r="AJ20" s="117"/>
      <c r="AK20" s="49">
        <f t="shared" ref="AK20:AO20" si="15">SUM(AK21:AK34)</f>
        <v>549.042602754794</v>
      </c>
      <c r="AL20" s="70">
        <f t="shared" si="15"/>
        <v>783.63</v>
      </c>
      <c r="AM20" s="49">
        <f t="shared" si="15"/>
        <v>520.57073079227</v>
      </c>
      <c r="AN20" s="70">
        <f t="shared" si="15"/>
        <v>8192</v>
      </c>
      <c r="AO20" s="70">
        <f t="shared" si="15"/>
        <v>-3774.43</v>
      </c>
      <c r="AP20" s="125">
        <f t="shared" si="0"/>
        <v>-0.315418215792012</v>
      </c>
      <c r="AQ20" s="117">
        <f>SUM(AQ21:AQ34)</f>
        <v>1601.49784363316</v>
      </c>
      <c r="AR20" s="198">
        <f t="shared" si="1"/>
        <v>0.243000883033779</v>
      </c>
      <c r="AS20" s="5"/>
      <c r="AT20" s="5"/>
      <c r="AU20" s="5"/>
      <c r="AV20" s="5"/>
      <c r="AW20" s="5"/>
      <c r="AX20" s="5"/>
      <c r="AY20" s="5"/>
      <c r="AZ20" s="5" t="s">
        <v>77</v>
      </c>
      <c r="BA20" s="5">
        <v>606</v>
      </c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</row>
    <row r="21" s="5" customFormat="1" ht="17" customHeight="1" spans="1:53">
      <c r="A21" s="31">
        <v>1</v>
      </c>
      <c r="B21" s="51" t="s">
        <v>59</v>
      </c>
      <c r="C21" s="31" t="s">
        <v>78</v>
      </c>
      <c r="D21" s="31"/>
      <c r="E21" s="31"/>
      <c r="F21" s="32"/>
      <c r="G21" s="189">
        <f>VLOOKUP(B:B,$AZ:$BA,2,0)</f>
        <v>1161</v>
      </c>
      <c r="H21" s="189">
        <f>G21*210000/381298.76</f>
        <v>639.419860688768</v>
      </c>
      <c r="I21" s="189">
        <v>3200</v>
      </c>
      <c r="J21" s="44">
        <f t="shared" ref="J21:J34" si="16">SUM(K21:O21)</f>
        <v>640</v>
      </c>
      <c r="K21" s="44">
        <f t="shared" ref="K21:K34" si="17">IF(D21="",I21*0.2,0)</f>
        <v>640</v>
      </c>
      <c r="L21" s="44">
        <f t="shared" ref="L21:L34" si="18">IF(D21=2017,I21*0.4,0)</f>
        <v>0</v>
      </c>
      <c r="M21" s="44">
        <f t="shared" ref="M21:M34" si="19">IF(D21=2018,I21*0.6,0)</f>
        <v>0</v>
      </c>
      <c r="N21" s="44">
        <f t="shared" ref="N21:N34" si="20">IF(D21=2019,I21*0.8,0)</f>
        <v>0</v>
      </c>
      <c r="O21" s="44">
        <f t="shared" ref="O21:O34" si="21">IF(D21=2020,I21*1,0)</f>
        <v>0</v>
      </c>
      <c r="P21" s="44"/>
      <c r="Q21" s="44"/>
      <c r="R21" s="44">
        <f t="shared" ref="R21:R34" si="22">S21+T21+U21+V21</f>
        <v>0</v>
      </c>
      <c r="S21" s="44"/>
      <c r="T21" s="44"/>
      <c r="U21" s="44"/>
      <c r="V21" s="44"/>
      <c r="W21" s="44">
        <f t="shared" ref="W21:W27" si="23">(J21/$J$9*0.2+P21/$P$9*0.05+R21/$R$9*0.05)*299423</f>
        <v>8.01871425214295</v>
      </c>
      <c r="X21" s="67">
        <v>22954</v>
      </c>
      <c r="Y21" s="115">
        <f t="shared" ref="Y21:Y34" si="24">IF(X21&lt;12842,(12842-X21)/(12842-$X$175),0)</f>
        <v>0</v>
      </c>
      <c r="Z21" s="44">
        <f>(Y21/$Y$9*0.15)*299423</f>
        <v>0</v>
      </c>
      <c r="AA21" s="67"/>
      <c r="AB21" s="44"/>
      <c r="AC21" s="44"/>
      <c r="AD21" s="67"/>
      <c r="AE21" s="44"/>
      <c r="AF21" s="44"/>
      <c r="AG21" s="44">
        <v>7</v>
      </c>
      <c r="AH21" s="44">
        <f>AG21/$AG$13*9347</f>
        <v>271.489626556017</v>
      </c>
      <c r="AI21" s="44"/>
      <c r="AJ21" s="115">
        <f>VLOOKUP(B:B,'表6资金使用成效（12月30日）'!B:L,11,0)</f>
        <v>0.999758476544357</v>
      </c>
      <c r="AK21" s="44">
        <f>AJ21/$AJ$9*0.025*299423</f>
        <v>64.4060860879518</v>
      </c>
      <c r="AL21" s="67">
        <v>78.59</v>
      </c>
      <c r="AM21" s="44">
        <f>(AL21/$AL$9)*0.025*299423</f>
        <v>52.2078707208307</v>
      </c>
      <c r="AN21" s="67">
        <f>ROUND(AM21+AK21+AE21+AC21+Z21+W21+AI21+AF21,0)</f>
        <v>125</v>
      </c>
      <c r="AO21" s="67">
        <f t="shared" si="10"/>
        <v>-1036</v>
      </c>
      <c r="AP21" s="125">
        <f t="shared" si="0"/>
        <v>-0.892334194659776</v>
      </c>
      <c r="AQ21" s="44">
        <f t="shared" si="11"/>
        <v>-514.419860688768</v>
      </c>
      <c r="AR21" s="198">
        <f t="shared" si="1"/>
        <v>-0.804510294901768</v>
      </c>
      <c r="AZ21" s="5" t="s">
        <v>79</v>
      </c>
      <c r="BA21" s="5">
        <v>460</v>
      </c>
    </row>
    <row r="22" ht="17" customHeight="1" spans="1:53">
      <c r="A22" s="31">
        <v>2</v>
      </c>
      <c r="B22" s="51" t="s">
        <v>57</v>
      </c>
      <c r="C22" s="31" t="s">
        <v>78</v>
      </c>
      <c r="D22" s="31"/>
      <c r="E22" s="31"/>
      <c r="F22" s="32"/>
      <c r="G22" s="189">
        <f t="shared" ref="G22:G34" si="25">VLOOKUP(B:B,$AZ:$BA,2,0)</f>
        <v>0</v>
      </c>
      <c r="H22" s="189">
        <f t="shared" ref="H22:H34" si="26">G22*210000/381298.76</f>
        <v>0</v>
      </c>
      <c r="I22" s="189"/>
      <c r="J22" s="44">
        <f t="shared" si="16"/>
        <v>0</v>
      </c>
      <c r="K22" s="44">
        <f t="shared" si="17"/>
        <v>0</v>
      </c>
      <c r="L22" s="44">
        <f t="shared" si="18"/>
        <v>0</v>
      </c>
      <c r="M22" s="44">
        <f t="shared" si="19"/>
        <v>0</v>
      </c>
      <c r="N22" s="44">
        <f t="shared" si="20"/>
        <v>0</v>
      </c>
      <c r="O22" s="44">
        <f t="shared" si="21"/>
        <v>0</v>
      </c>
      <c r="P22" s="44"/>
      <c r="Q22" s="44"/>
      <c r="R22" s="44">
        <f t="shared" si="22"/>
        <v>0</v>
      </c>
      <c r="S22" s="44"/>
      <c r="T22" s="44"/>
      <c r="U22" s="44"/>
      <c r="V22" s="44"/>
      <c r="W22" s="44">
        <f t="shared" si="23"/>
        <v>0</v>
      </c>
      <c r="X22" s="67">
        <v>22790</v>
      </c>
      <c r="Y22" s="115">
        <f t="shared" si="24"/>
        <v>0</v>
      </c>
      <c r="Z22" s="44">
        <f t="shared" ref="Z22:Z34" si="27">(Y22/$Y$9*0.15)*299423</f>
        <v>0</v>
      </c>
      <c r="AA22" s="67"/>
      <c r="AB22" s="44"/>
      <c r="AC22" s="44"/>
      <c r="AD22" s="67"/>
      <c r="AE22" s="44"/>
      <c r="AF22" s="44"/>
      <c r="AG22" s="44">
        <v>0</v>
      </c>
      <c r="AH22" s="44"/>
      <c r="AI22" s="44"/>
      <c r="AJ22" s="115"/>
      <c r="AK22" s="44">
        <f t="shared" ref="AK22:AK34" si="28">AJ22/$AJ$9*0.025*299423</f>
        <v>0</v>
      </c>
      <c r="AL22" s="67">
        <v>0</v>
      </c>
      <c r="AM22" s="44">
        <f t="shared" ref="AM22:AM34" si="29">(AL22/$AL$9)*0.025*299423</f>
        <v>0</v>
      </c>
      <c r="AN22" s="67">
        <f t="shared" ref="AN22:AN34" si="30">ROUND(AM22+AK22+AE22+AC22+Z22+W22+AI22+AF22,0)</f>
        <v>0</v>
      </c>
      <c r="AO22" s="67">
        <f t="shared" si="10"/>
        <v>0</v>
      </c>
      <c r="AP22" s="125"/>
      <c r="AQ22" s="44">
        <f t="shared" si="11"/>
        <v>0</v>
      </c>
      <c r="AR22" s="198"/>
      <c r="AZ22" s="5" t="s">
        <v>80</v>
      </c>
      <c r="BA22" s="5">
        <v>2426</v>
      </c>
    </row>
    <row r="23" ht="17" customHeight="1" spans="1:53">
      <c r="A23" s="31">
        <v>3</v>
      </c>
      <c r="B23" s="51" t="s">
        <v>63</v>
      </c>
      <c r="C23" s="31" t="s">
        <v>78</v>
      </c>
      <c r="D23" s="31"/>
      <c r="E23" s="31"/>
      <c r="F23" s="32"/>
      <c r="G23" s="189">
        <f t="shared" si="25"/>
        <v>0</v>
      </c>
      <c r="H23" s="189">
        <f t="shared" si="26"/>
        <v>0</v>
      </c>
      <c r="I23" s="189"/>
      <c r="J23" s="44">
        <f t="shared" si="16"/>
        <v>0</v>
      </c>
      <c r="K23" s="44">
        <f t="shared" si="17"/>
        <v>0</v>
      </c>
      <c r="L23" s="44">
        <f t="shared" si="18"/>
        <v>0</v>
      </c>
      <c r="M23" s="44">
        <f t="shared" si="19"/>
        <v>0</v>
      </c>
      <c r="N23" s="44">
        <f t="shared" si="20"/>
        <v>0</v>
      </c>
      <c r="O23" s="44">
        <f t="shared" si="21"/>
        <v>0</v>
      </c>
      <c r="P23" s="44"/>
      <c r="Q23" s="44"/>
      <c r="R23" s="44">
        <f t="shared" si="22"/>
        <v>0</v>
      </c>
      <c r="S23" s="44"/>
      <c r="T23" s="44"/>
      <c r="U23" s="44"/>
      <c r="V23" s="44"/>
      <c r="W23" s="44">
        <f t="shared" si="23"/>
        <v>0</v>
      </c>
      <c r="X23" s="67">
        <v>23595</v>
      </c>
      <c r="Y23" s="115">
        <f t="shared" si="24"/>
        <v>0</v>
      </c>
      <c r="Z23" s="44">
        <f t="shared" si="27"/>
        <v>0</v>
      </c>
      <c r="AA23" s="67"/>
      <c r="AB23" s="44"/>
      <c r="AC23" s="44"/>
      <c r="AD23" s="67"/>
      <c r="AE23" s="44"/>
      <c r="AF23" s="44"/>
      <c r="AG23" s="44">
        <v>6</v>
      </c>
      <c r="AH23" s="44"/>
      <c r="AI23" s="44"/>
      <c r="AJ23" s="115"/>
      <c r="AK23" s="44">
        <f t="shared" si="28"/>
        <v>0</v>
      </c>
      <c r="AL23" s="67">
        <v>0</v>
      </c>
      <c r="AM23" s="44">
        <f t="shared" si="29"/>
        <v>0</v>
      </c>
      <c r="AN23" s="67">
        <f t="shared" si="30"/>
        <v>0</v>
      </c>
      <c r="AO23" s="67">
        <f t="shared" si="10"/>
        <v>0</v>
      </c>
      <c r="AP23" s="125"/>
      <c r="AQ23" s="44">
        <f t="shared" si="11"/>
        <v>0</v>
      </c>
      <c r="AR23" s="198"/>
      <c r="AZ23" s="5" t="s">
        <v>81</v>
      </c>
      <c r="BA23" s="5">
        <v>0</v>
      </c>
    </row>
    <row r="24" ht="17" customHeight="1" spans="1:53">
      <c r="A24" s="31">
        <v>4</v>
      </c>
      <c r="B24" s="51" t="s">
        <v>61</v>
      </c>
      <c r="C24" s="31" t="s">
        <v>78</v>
      </c>
      <c r="D24" s="31"/>
      <c r="E24" s="31"/>
      <c r="F24" s="32"/>
      <c r="G24" s="189">
        <f t="shared" si="25"/>
        <v>0</v>
      </c>
      <c r="H24" s="189">
        <f t="shared" si="26"/>
        <v>0</v>
      </c>
      <c r="I24" s="189"/>
      <c r="J24" s="44">
        <f t="shared" si="16"/>
        <v>0</v>
      </c>
      <c r="K24" s="44">
        <f t="shared" si="17"/>
        <v>0</v>
      </c>
      <c r="L24" s="44">
        <f t="shared" si="18"/>
        <v>0</v>
      </c>
      <c r="M24" s="44">
        <f t="shared" si="19"/>
        <v>0</v>
      </c>
      <c r="N24" s="44">
        <f t="shared" si="20"/>
        <v>0</v>
      </c>
      <c r="O24" s="44">
        <f t="shared" si="21"/>
        <v>0</v>
      </c>
      <c r="P24" s="44"/>
      <c r="Q24" s="44"/>
      <c r="R24" s="44">
        <f t="shared" si="22"/>
        <v>0</v>
      </c>
      <c r="S24" s="44"/>
      <c r="T24" s="44"/>
      <c r="U24" s="44"/>
      <c r="V24" s="44"/>
      <c r="W24" s="44">
        <f t="shared" si="23"/>
        <v>0</v>
      </c>
      <c r="X24" s="67">
        <v>24073</v>
      </c>
      <c r="Y24" s="115">
        <f t="shared" si="24"/>
        <v>0</v>
      </c>
      <c r="Z24" s="44">
        <f t="shared" si="27"/>
        <v>0</v>
      </c>
      <c r="AA24" s="67"/>
      <c r="AB24" s="44"/>
      <c r="AC24" s="44"/>
      <c r="AD24" s="67"/>
      <c r="AE24" s="44"/>
      <c r="AF24" s="44"/>
      <c r="AG24" s="44">
        <v>2</v>
      </c>
      <c r="AH24" s="44"/>
      <c r="AI24" s="44"/>
      <c r="AJ24" s="115"/>
      <c r="AK24" s="44">
        <f t="shared" si="28"/>
        <v>0</v>
      </c>
      <c r="AL24" s="67">
        <v>0</v>
      </c>
      <c r="AM24" s="44">
        <f t="shared" si="29"/>
        <v>0</v>
      </c>
      <c r="AN24" s="67">
        <f t="shared" si="30"/>
        <v>0</v>
      </c>
      <c r="AO24" s="67">
        <f t="shared" si="10"/>
        <v>0</v>
      </c>
      <c r="AP24" s="125"/>
      <c r="AQ24" s="44">
        <f t="shared" si="11"/>
        <v>0</v>
      </c>
      <c r="AR24" s="198"/>
      <c r="AZ24" s="5" t="s">
        <v>82</v>
      </c>
      <c r="BA24" s="5">
        <v>76855.33</v>
      </c>
    </row>
    <row r="25" ht="17" customHeight="1" spans="1:53">
      <c r="A25" s="31">
        <v>5</v>
      </c>
      <c r="B25" s="51" t="s">
        <v>67</v>
      </c>
      <c r="C25" s="31" t="s">
        <v>78</v>
      </c>
      <c r="D25" s="31"/>
      <c r="E25" s="31"/>
      <c r="F25" s="32"/>
      <c r="G25" s="189">
        <f t="shared" si="25"/>
        <v>0</v>
      </c>
      <c r="H25" s="189">
        <f t="shared" si="26"/>
        <v>0</v>
      </c>
      <c r="I25" s="189"/>
      <c r="J25" s="44">
        <f t="shared" si="16"/>
        <v>0</v>
      </c>
      <c r="K25" s="44">
        <f t="shared" si="17"/>
        <v>0</v>
      </c>
      <c r="L25" s="44">
        <f t="shared" si="18"/>
        <v>0</v>
      </c>
      <c r="M25" s="44">
        <f t="shared" si="19"/>
        <v>0</v>
      </c>
      <c r="N25" s="44">
        <f t="shared" si="20"/>
        <v>0</v>
      </c>
      <c r="O25" s="44">
        <f t="shared" si="21"/>
        <v>0</v>
      </c>
      <c r="P25" s="44"/>
      <c r="Q25" s="44"/>
      <c r="R25" s="44">
        <f t="shared" si="22"/>
        <v>0</v>
      </c>
      <c r="S25" s="44"/>
      <c r="T25" s="44"/>
      <c r="U25" s="44"/>
      <c r="V25" s="44"/>
      <c r="W25" s="44">
        <f t="shared" si="23"/>
        <v>0</v>
      </c>
      <c r="X25" s="67">
        <v>23298</v>
      </c>
      <c r="Y25" s="115">
        <f t="shared" si="24"/>
        <v>0</v>
      </c>
      <c r="Z25" s="44">
        <f t="shared" si="27"/>
        <v>0</v>
      </c>
      <c r="AA25" s="67"/>
      <c r="AB25" s="44"/>
      <c r="AC25" s="44"/>
      <c r="AD25" s="67"/>
      <c r="AE25" s="44"/>
      <c r="AF25" s="44"/>
      <c r="AG25" s="44">
        <v>2</v>
      </c>
      <c r="AH25" s="44"/>
      <c r="AI25" s="44"/>
      <c r="AJ25" s="115"/>
      <c r="AK25" s="44">
        <f t="shared" si="28"/>
        <v>0</v>
      </c>
      <c r="AL25" s="67">
        <v>0</v>
      </c>
      <c r="AM25" s="44">
        <f t="shared" si="29"/>
        <v>0</v>
      </c>
      <c r="AN25" s="67">
        <f t="shared" si="30"/>
        <v>0</v>
      </c>
      <c r="AO25" s="67">
        <f t="shared" si="10"/>
        <v>0</v>
      </c>
      <c r="AP25" s="125"/>
      <c r="AQ25" s="44">
        <f t="shared" si="11"/>
        <v>0</v>
      </c>
      <c r="AR25" s="198"/>
      <c r="AZ25" s="5" t="s">
        <v>83</v>
      </c>
      <c r="BA25" s="5">
        <v>0</v>
      </c>
    </row>
    <row r="26" ht="17" customHeight="1" spans="1:53">
      <c r="A26" s="31">
        <v>6</v>
      </c>
      <c r="B26" s="51" t="s">
        <v>81</v>
      </c>
      <c r="C26" s="31" t="s">
        <v>78</v>
      </c>
      <c r="D26" s="31"/>
      <c r="E26" s="31"/>
      <c r="F26" s="32"/>
      <c r="G26" s="189">
        <f t="shared" si="25"/>
        <v>0</v>
      </c>
      <c r="H26" s="189">
        <f t="shared" si="26"/>
        <v>0</v>
      </c>
      <c r="I26" s="189"/>
      <c r="J26" s="44">
        <f t="shared" si="16"/>
        <v>0</v>
      </c>
      <c r="K26" s="44">
        <f t="shared" si="17"/>
        <v>0</v>
      </c>
      <c r="L26" s="44">
        <f t="shared" si="18"/>
        <v>0</v>
      </c>
      <c r="M26" s="44">
        <f t="shared" si="19"/>
        <v>0</v>
      </c>
      <c r="N26" s="44">
        <f t="shared" si="20"/>
        <v>0</v>
      </c>
      <c r="O26" s="44">
        <f t="shared" si="21"/>
        <v>0</v>
      </c>
      <c r="P26" s="44"/>
      <c r="Q26" s="44"/>
      <c r="R26" s="44">
        <f t="shared" si="22"/>
        <v>0</v>
      </c>
      <c r="S26" s="44"/>
      <c r="T26" s="44"/>
      <c r="U26" s="44"/>
      <c r="V26" s="44"/>
      <c r="W26" s="44">
        <f t="shared" si="23"/>
        <v>0</v>
      </c>
      <c r="X26" s="67">
        <v>21410</v>
      </c>
      <c r="Y26" s="115">
        <f t="shared" si="24"/>
        <v>0</v>
      </c>
      <c r="Z26" s="44">
        <f t="shared" si="27"/>
        <v>0</v>
      </c>
      <c r="AA26" s="67"/>
      <c r="AB26" s="44"/>
      <c r="AC26" s="44"/>
      <c r="AD26" s="67"/>
      <c r="AE26" s="44"/>
      <c r="AF26" s="44"/>
      <c r="AG26" s="44">
        <v>7</v>
      </c>
      <c r="AH26" s="44"/>
      <c r="AI26" s="44"/>
      <c r="AJ26" s="115"/>
      <c r="AK26" s="44">
        <f t="shared" si="28"/>
        <v>0</v>
      </c>
      <c r="AL26" s="67">
        <v>0</v>
      </c>
      <c r="AM26" s="44">
        <f t="shared" si="29"/>
        <v>0</v>
      </c>
      <c r="AN26" s="67">
        <f t="shared" si="30"/>
        <v>0</v>
      </c>
      <c r="AO26" s="67">
        <f t="shared" si="10"/>
        <v>0</v>
      </c>
      <c r="AP26" s="125"/>
      <c r="AQ26" s="44">
        <f t="shared" si="11"/>
        <v>0</v>
      </c>
      <c r="AR26" s="198"/>
      <c r="AZ26" s="5" t="s">
        <v>84</v>
      </c>
      <c r="BA26" s="5">
        <v>4664</v>
      </c>
    </row>
    <row r="27" ht="17" customHeight="1" spans="1:53">
      <c r="A27" s="31">
        <v>7</v>
      </c>
      <c r="B27" s="51" t="s">
        <v>71</v>
      </c>
      <c r="C27" s="31" t="s">
        <v>78</v>
      </c>
      <c r="D27" s="31"/>
      <c r="E27" s="31"/>
      <c r="F27" s="32"/>
      <c r="G27" s="189">
        <f t="shared" si="25"/>
        <v>256</v>
      </c>
      <c r="H27" s="189">
        <f t="shared" si="26"/>
        <v>140.991803907256</v>
      </c>
      <c r="I27" s="189">
        <v>2323</v>
      </c>
      <c r="J27" s="44">
        <f t="shared" si="16"/>
        <v>464.6</v>
      </c>
      <c r="K27" s="44">
        <f t="shared" si="17"/>
        <v>464.6</v>
      </c>
      <c r="L27" s="44">
        <f t="shared" si="18"/>
        <v>0</v>
      </c>
      <c r="M27" s="44">
        <f t="shared" si="19"/>
        <v>0</v>
      </c>
      <c r="N27" s="44">
        <f t="shared" si="20"/>
        <v>0</v>
      </c>
      <c r="O27" s="44">
        <f t="shared" si="21"/>
        <v>0</v>
      </c>
      <c r="P27" s="44">
        <v>213</v>
      </c>
      <c r="Q27" s="44">
        <v>36</v>
      </c>
      <c r="R27" s="44">
        <f t="shared" si="22"/>
        <v>14.4</v>
      </c>
      <c r="S27" s="44">
        <f t="shared" ref="S27:S31" si="31">Q27*0.4</f>
        <v>14.4</v>
      </c>
      <c r="T27" s="44">
        <f>IF(AND(Q27&gt;=800,Q27&lt;3000),Q27*0.6,0)</f>
        <v>0</v>
      </c>
      <c r="U27" s="44"/>
      <c r="V27" s="44"/>
      <c r="W27" s="44">
        <f t="shared" si="23"/>
        <v>9.88110971226179</v>
      </c>
      <c r="X27" s="67">
        <v>17374</v>
      </c>
      <c r="Y27" s="115">
        <f t="shared" si="24"/>
        <v>0</v>
      </c>
      <c r="Z27" s="44">
        <f t="shared" si="27"/>
        <v>0</v>
      </c>
      <c r="AA27" s="67"/>
      <c r="AB27" s="44"/>
      <c r="AC27" s="44"/>
      <c r="AD27" s="67"/>
      <c r="AE27" s="44"/>
      <c r="AF27" s="44"/>
      <c r="AG27" s="44">
        <v>6</v>
      </c>
      <c r="AH27" s="44">
        <f t="shared" ref="AH22:AH31" si="32">AG27/$AG$13*9347</f>
        <v>232.705394190871</v>
      </c>
      <c r="AI27" s="44"/>
      <c r="AJ27" s="115">
        <f>VLOOKUP(B:B,'表6资金使用成效（12月30日）'!B:L,11,0)</f>
        <v>0.946008956059334</v>
      </c>
      <c r="AK27" s="44">
        <f t="shared" si="28"/>
        <v>60.9434535374281</v>
      </c>
      <c r="AL27" s="67">
        <v>89.38</v>
      </c>
      <c r="AM27" s="44">
        <f t="shared" si="29"/>
        <v>59.3757409979367</v>
      </c>
      <c r="AN27" s="67">
        <f t="shared" si="30"/>
        <v>130</v>
      </c>
      <c r="AO27" s="67">
        <f t="shared" si="10"/>
        <v>-126</v>
      </c>
      <c r="AP27" s="125">
        <f t="shared" si="0"/>
        <v>-0.4921875</v>
      </c>
      <c r="AQ27" s="44">
        <f t="shared" si="11"/>
        <v>-10.991803907256</v>
      </c>
      <c r="AR27" s="198">
        <f t="shared" si="1"/>
        <v>-0.0779605877976169</v>
      </c>
      <c r="AZ27" s="5" t="s">
        <v>85</v>
      </c>
      <c r="BA27" s="5">
        <v>4056</v>
      </c>
    </row>
    <row r="28" s="5" customFormat="1" ht="17" customHeight="1" spans="1:53">
      <c r="A28" s="31">
        <v>8</v>
      </c>
      <c r="B28" s="51" t="s">
        <v>69</v>
      </c>
      <c r="C28" s="31" t="s">
        <v>78</v>
      </c>
      <c r="D28" s="31"/>
      <c r="E28" s="31"/>
      <c r="F28" s="31"/>
      <c r="G28" s="189">
        <f t="shared" si="25"/>
        <v>10</v>
      </c>
      <c r="H28" s="189">
        <f t="shared" si="26"/>
        <v>5.5074923401272</v>
      </c>
      <c r="I28" s="189">
        <v>1149</v>
      </c>
      <c r="J28" s="44">
        <f t="shared" si="16"/>
        <v>229.8</v>
      </c>
      <c r="K28" s="44">
        <f t="shared" si="17"/>
        <v>229.8</v>
      </c>
      <c r="L28" s="44">
        <f t="shared" si="18"/>
        <v>0</v>
      </c>
      <c r="M28" s="44">
        <f t="shared" si="19"/>
        <v>0</v>
      </c>
      <c r="N28" s="44">
        <f t="shared" si="20"/>
        <v>0</v>
      </c>
      <c r="O28" s="44">
        <f t="shared" si="21"/>
        <v>0</v>
      </c>
      <c r="P28" s="44">
        <v>32</v>
      </c>
      <c r="Q28" s="44">
        <v>0</v>
      </c>
      <c r="R28" s="44">
        <f t="shared" si="22"/>
        <v>0</v>
      </c>
      <c r="S28" s="44"/>
      <c r="T28" s="44"/>
      <c r="U28" s="44"/>
      <c r="V28" s="44"/>
      <c r="W28" s="44">
        <f t="shared" ref="W28:W34" si="33">(J28/$J$9*0.2+P28/$P$9*0.05+R28/$R$9*0.05)*299423</f>
        <v>3.45437769927158</v>
      </c>
      <c r="X28" s="76">
        <v>18679</v>
      </c>
      <c r="Y28" s="115">
        <f t="shared" si="24"/>
        <v>0</v>
      </c>
      <c r="Z28" s="44">
        <f t="shared" si="27"/>
        <v>0</v>
      </c>
      <c r="AA28" s="44"/>
      <c r="AB28" s="44"/>
      <c r="AC28" s="44"/>
      <c r="AD28" s="76"/>
      <c r="AE28" s="44"/>
      <c r="AF28" s="44"/>
      <c r="AG28" s="44">
        <v>8</v>
      </c>
      <c r="AH28" s="44">
        <f t="shared" si="32"/>
        <v>310.273858921162</v>
      </c>
      <c r="AI28" s="44"/>
      <c r="AJ28" s="115">
        <f>VLOOKUP(B:B,'表6资金使用成效（12月30日）'!B:L,11,0)</f>
        <v>0.926677192982456</v>
      </c>
      <c r="AK28" s="44">
        <f t="shared" si="28"/>
        <v>59.6980695510228</v>
      </c>
      <c r="AL28" s="76">
        <v>89.36</v>
      </c>
      <c r="AM28" s="44">
        <f t="shared" si="29"/>
        <v>59.3624548621126</v>
      </c>
      <c r="AN28" s="67">
        <f t="shared" si="30"/>
        <v>123</v>
      </c>
      <c r="AO28" s="67">
        <f t="shared" si="10"/>
        <v>113</v>
      </c>
      <c r="AP28" s="126">
        <f t="shared" si="0"/>
        <v>11.3</v>
      </c>
      <c r="AQ28" s="44">
        <f t="shared" si="11"/>
        <v>117.492507659873</v>
      </c>
      <c r="AR28" s="198">
        <f t="shared" si="1"/>
        <v>21.3332130857143</v>
      </c>
      <c r="AZ28" s="5" t="s">
        <v>86</v>
      </c>
      <c r="BA28" s="5">
        <v>5450</v>
      </c>
    </row>
    <row r="29" ht="17" customHeight="1" spans="1:53">
      <c r="A29" s="31">
        <v>9</v>
      </c>
      <c r="B29" s="51" t="s">
        <v>73</v>
      </c>
      <c r="C29" s="31" t="s">
        <v>78</v>
      </c>
      <c r="D29" s="31"/>
      <c r="E29" s="31"/>
      <c r="F29" s="31"/>
      <c r="G29" s="189">
        <f t="shared" si="25"/>
        <v>176</v>
      </c>
      <c r="H29" s="189">
        <f t="shared" si="26"/>
        <v>96.9318651862387</v>
      </c>
      <c r="I29" s="189">
        <v>3781</v>
      </c>
      <c r="J29" s="44">
        <f t="shared" si="16"/>
        <v>756.2</v>
      </c>
      <c r="K29" s="44">
        <f t="shared" si="17"/>
        <v>756.2</v>
      </c>
      <c r="L29" s="44">
        <f t="shared" si="18"/>
        <v>0</v>
      </c>
      <c r="M29" s="44">
        <f t="shared" si="19"/>
        <v>0</v>
      </c>
      <c r="N29" s="44">
        <f t="shared" si="20"/>
        <v>0</v>
      </c>
      <c r="O29" s="44">
        <f t="shared" si="21"/>
        <v>0</v>
      </c>
      <c r="P29" s="44">
        <v>425</v>
      </c>
      <c r="Q29" s="44">
        <v>18</v>
      </c>
      <c r="R29" s="44">
        <f t="shared" si="22"/>
        <v>7.2</v>
      </c>
      <c r="S29" s="44">
        <f t="shared" si="31"/>
        <v>7.2</v>
      </c>
      <c r="T29" s="44"/>
      <c r="U29" s="44"/>
      <c r="V29" s="44"/>
      <c r="W29" s="44">
        <f t="shared" si="33"/>
        <v>17.229244820534</v>
      </c>
      <c r="X29" s="76">
        <v>17701</v>
      </c>
      <c r="Y29" s="115">
        <f t="shared" si="24"/>
        <v>0</v>
      </c>
      <c r="Z29" s="44">
        <f t="shared" si="27"/>
        <v>0</v>
      </c>
      <c r="AA29" s="44"/>
      <c r="AB29" s="44"/>
      <c r="AC29" s="44"/>
      <c r="AD29" s="76"/>
      <c r="AE29" s="44"/>
      <c r="AF29" s="44"/>
      <c r="AG29" s="44">
        <v>6</v>
      </c>
      <c r="AH29" s="44">
        <f t="shared" si="32"/>
        <v>232.705394190871</v>
      </c>
      <c r="AI29" s="44"/>
      <c r="AJ29" s="115">
        <f>VLOOKUP(B:B,'表6资金使用成效（12月30日）'!B:L,11,0)</f>
        <v>0.99527665317139</v>
      </c>
      <c r="AK29" s="44">
        <f t="shared" si="28"/>
        <v>64.1173596517549</v>
      </c>
      <c r="AL29" s="76">
        <v>82.15</v>
      </c>
      <c r="AM29" s="44">
        <f t="shared" si="29"/>
        <v>54.5728028975218</v>
      </c>
      <c r="AN29" s="67">
        <f t="shared" si="30"/>
        <v>136</v>
      </c>
      <c r="AO29" s="67">
        <f t="shared" si="10"/>
        <v>-40</v>
      </c>
      <c r="AP29" s="125">
        <f t="shared" si="0"/>
        <v>-0.227272727272727</v>
      </c>
      <c r="AQ29" s="44">
        <f t="shared" si="11"/>
        <v>39.0681348137613</v>
      </c>
      <c r="AR29" s="198">
        <f t="shared" si="1"/>
        <v>0.403047385281386</v>
      </c>
      <c r="AZ29" s="5" t="s">
        <v>87</v>
      </c>
      <c r="BA29" s="5">
        <v>3486</v>
      </c>
    </row>
    <row r="30" ht="17" customHeight="1" spans="1:53">
      <c r="A30" s="31">
        <v>10</v>
      </c>
      <c r="B30" s="51" t="s">
        <v>75</v>
      </c>
      <c r="C30" s="31" t="s">
        <v>78</v>
      </c>
      <c r="D30" s="31"/>
      <c r="E30" s="31"/>
      <c r="F30" s="31"/>
      <c r="G30" s="189">
        <f t="shared" si="25"/>
        <v>157</v>
      </c>
      <c r="H30" s="189">
        <f t="shared" si="26"/>
        <v>86.4676297399971</v>
      </c>
      <c r="I30" s="189">
        <v>3751</v>
      </c>
      <c r="J30" s="44">
        <f t="shared" si="16"/>
        <v>750.2</v>
      </c>
      <c r="K30" s="44">
        <f t="shared" si="17"/>
        <v>750.2</v>
      </c>
      <c r="L30" s="44">
        <f t="shared" si="18"/>
        <v>0</v>
      </c>
      <c r="M30" s="44">
        <f t="shared" si="19"/>
        <v>0</v>
      </c>
      <c r="N30" s="44">
        <f t="shared" si="20"/>
        <v>0</v>
      </c>
      <c r="O30" s="44">
        <f t="shared" si="21"/>
        <v>0</v>
      </c>
      <c r="P30" s="44">
        <v>201</v>
      </c>
      <c r="Q30" s="44">
        <v>0</v>
      </c>
      <c r="R30" s="44">
        <f t="shared" si="22"/>
        <v>0</v>
      </c>
      <c r="S30" s="44"/>
      <c r="T30" s="44"/>
      <c r="U30" s="44"/>
      <c r="V30" s="44"/>
      <c r="W30" s="44">
        <f t="shared" si="33"/>
        <v>13.0121485104154</v>
      </c>
      <c r="X30" s="76">
        <v>17440</v>
      </c>
      <c r="Y30" s="115">
        <f t="shared" si="24"/>
        <v>0</v>
      </c>
      <c r="Z30" s="44">
        <f t="shared" si="27"/>
        <v>0</v>
      </c>
      <c r="AA30" s="44"/>
      <c r="AB30" s="44"/>
      <c r="AC30" s="44"/>
      <c r="AD30" s="76"/>
      <c r="AE30" s="44"/>
      <c r="AF30" s="44"/>
      <c r="AG30" s="44">
        <v>6</v>
      </c>
      <c r="AH30" s="44">
        <f t="shared" si="32"/>
        <v>232.705394190871</v>
      </c>
      <c r="AI30" s="44"/>
      <c r="AJ30" s="115">
        <f>VLOOKUP(B:B,'表6资金使用成效（12月30日）'!B:L,11,0)</f>
        <v>0.965074967447832</v>
      </c>
      <c r="AK30" s="44">
        <f t="shared" si="28"/>
        <v>62.1717173627931</v>
      </c>
      <c r="AL30" s="76">
        <v>89.48</v>
      </c>
      <c r="AM30" s="44">
        <f t="shared" si="29"/>
        <v>59.4421716770572</v>
      </c>
      <c r="AN30" s="67">
        <f t="shared" si="30"/>
        <v>135</v>
      </c>
      <c r="AO30" s="67">
        <f t="shared" si="10"/>
        <v>-22</v>
      </c>
      <c r="AP30" s="125">
        <f t="shared" si="0"/>
        <v>-0.140127388535032</v>
      </c>
      <c r="AQ30" s="44">
        <f t="shared" si="11"/>
        <v>48.5323702600029</v>
      </c>
      <c r="AR30" s="198">
        <f t="shared" si="1"/>
        <v>0.561277907188352</v>
      </c>
      <c r="AZ30" s="5" t="s">
        <v>88</v>
      </c>
      <c r="BA30" s="5">
        <v>5185</v>
      </c>
    </row>
    <row r="31" ht="17" customHeight="1" spans="1:53">
      <c r="A31" s="31">
        <v>11</v>
      </c>
      <c r="B31" s="51" t="s">
        <v>77</v>
      </c>
      <c r="C31" s="31" t="s">
        <v>78</v>
      </c>
      <c r="D31" s="31"/>
      <c r="E31" s="31"/>
      <c r="F31" s="31"/>
      <c r="G31" s="189">
        <f t="shared" si="25"/>
        <v>606</v>
      </c>
      <c r="H31" s="189">
        <f t="shared" si="26"/>
        <v>333.754035811708</v>
      </c>
      <c r="I31" s="189">
        <v>3050</v>
      </c>
      <c r="J31" s="44">
        <f t="shared" si="16"/>
        <v>610</v>
      </c>
      <c r="K31" s="44">
        <f t="shared" si="17"/>
        <v>610</v>
      </c>
      <c r="L31" s="44">
        <f t="shared" si="18"/>
        <v>0</v>
      </c>
      <c r="M31" s="44">
        <f t="shared" si="19"/>
        <v>0</v>
      </c>
      <c r="N31" s="44">
        <f t="shared" si="20"/>
        <v>0</v>
      </c>
      <c r="O31" s="44">
        <f t="shared" si="21"/>
        <v>0</v>
      </c>
      <c r="P31" s="44">
        <v>439</v>
      </c>
      <c r="Q31" s="44">
        <v>251</v>
      </c>
      <c r="R31" s="44">
        <f t="shared" si="22"/>
        <v>100.4</v>
      </c>
      <c r="S31" s="44">
        <f t="shared" si="31"/>
        <v>100.4</v>
      </c>
      <c r="T31" s="44"/>
      <c r="U31" s="44"/>
      <c r="V31" s="44"/>
      <c r="W31" s="44">
        <f t="shared" si="33"/>
        <v>17.1482502818369</v>
      </c>
      <c r="X31" s="76">
        <v>17239</v>
      </c>
      <c r="Y31" s="115">
        <f t="shared" si="24"/>
        <v>0</v>
      </c>
      <c r="Z31" s="44">
        <f t="shared" si="27"/>
        <v>0</v>
      </c>
      <c r="AA31" s="44"/>
      <c r="AB31" s="44"/>
      <c r="AC31" s="44"/>
      <c r="AD31" s="76"/>
      <c r="AE31" s="44"/>
      <c r="AF31" s="44"/>
      <c r="AG31" s="44">
        <v>8</v>
      </c>
      <c r="AH31" s="44">
        <f t="shared" si="32"/>
        <v>310.273858921162</v>
      </c>
      <c r="AI31" s="44"/>
      <c r="AJ31" s="115">
        <f>VLOOKUP(B:B,'表6资金使用成效（12月30日）'!B:L,11,0)</f>
        <v>0.969999533102997</v>
      </c>
      <c r="AK31" s="44">
        <f t="shared" si="28"/>
        <v>62.4889659853091</v>
      </c>
      <c r="AL31" s="76">
        <v>90.68</v>
      </c>
      <c r="AM31" s="44">
        <f t="shared" si="29"/>
        <v>60.2393398265037</v>
      </c>
      <c r="AN31" s="67">
        <f t="shared" si="30"/>
        <v>140</v>
      </c>
      <c r="AO31" s="67">
        <f t="shared" si="10"/>
        <v>-466</v>
      </c>
      <c r="AP31" s="125">
        <f t="shared" si="0"/>
        <v>-0.768976897689769</v>
      </c>
      <c r="AQ31" s="44">
        <f t="shared" si="11"/>
        <v>-193.754035811708</v>
      </c>
      <c r="AR31" s="198">
        <f t="shared" si="1"/>
        <v>-0.580529416941694</v>
      </c>
      <c r="AZ31" s="5" t="s">
        <v>89</v>
      </c>
      <c r="BA31" s="5">
        <v>5180</v>
      </c>
    </row>
    <row r="32" ht="17" customHeight="1" spans="1:53">
      <c r="A32" s="31">
        <v>12</v>
      </c>
      <c r="B32" s="51" t="s">
        <v>79</v>
      </c>
      <c r="C32" s="31" t="s">
        <v>90</v>
      </c>
      <c r="D32" s="31">
        <v>2018</v>
      </c>
      <c r="E32" s="31" t="s">
        <v>91</v>
      </c>
      <c r="F32" s="31"/>
      <c r="G32" s="189">
        <f t="shared" si="25"/>
        <v>460</v>
      </c>
      <c r="H32" s="189">
        <f t="shared" si="26"/>
        <v>253.344647645851</v>
      </c>
      <c r="I32" s="189">
        <v>81053</v>
      </c>
      <c r="J32" s="44">
        <f t="shared" si="16"/>
        <v>48631.8</v>
      </c>
      <c r="K32" s="44">
        <f t="shared" si="17"/>
        <v>0</v>
      </c>
      <c r="L32" s="44">
        <f t="shared" si="18"/>
        <v>0</v>
      </c>
      <c r="M32" s="44">
        <f t="shared" si="19"/>
        <v>48631.8</v>
      </c>
      <c r="N32" s="44">
        <f t="shared" si="20"/>
        <v>0</v>
      </c>
      <c r="O32" s="44">
        <f t="shared" si="21"/>
        <v>0</v>
      </c>
      <c r="P32" s="44">
        <v>4852</v>
      </c>
      <c r="Q32" s="44">
        <v>1833</v>
      </c>
      <c r="R32" s="44">
        <f t="shared" si="22"/>
        <v>1099.8</v>
      </c>
      <c r="S32" s="44"/>
      <c r="T32" s="44">
        <f>Q32*0.6</f>
        <v>1099.8</v>
      </c>
      <c r="U32" s="44"/>
      <c r="V32" s="44"/>
      <c r="W32" s="44">
        <f t="shared" si="33"/>
        <v>714.218491819281</v>
      </c>
      <c r="X32" s="76">
        <v>10553</v>
      </c>
      <c r="Y32" s="115">
        <f t="shared" si="24"/>
        <v>0.433112582781457</v>
      </c>
      <c r="Z32" s="44">
        <f t="shared" si="27"/>
        <v>1077.30155139893</v>
      </c>
      <c r="AA32" s="44"/>
      <c r="AB32" s="44"/>
      <c r="AC32" s="44"/>
      <c r="AD32" s="76">
        <f>J32</f>
        <v>48631.8</v>
      </c>
      <c r="AE32" s="44"/>
      <c r="AF32" s="44"/>
      <c r="AG32" s="44">
        <v>5</v>
      </c>
      <c r="AH32" s="44"/>
      <c r="AI32" s="44"/>
      <c r="AJ32" s="115">
        <f>VLOOKUP(B:B,'表6资金使用成效（12月30日）'!B:L,11,0)</f>
        <v>0.856732683221072</v>
      </c>
      <c r="AK32" s="44">
        <f t="shared" si="28"/>
        <v>55.1921291436534</v>
      </c>
      <c r="AL32" s="76">
        <v>82.25</v>
      </c>
      <c r="AM32" s="44">
        <f t="shared" si="29"/>
        <v>54.6392335766423</v>
      </c>
      <c r="AN32" s="67">
        <f t="shared" si="30"/>
        <v>1901</v>
      </c>
      <c r="AO32" s="67">
        <f t="shared" si="10"/>
        <v>1441</v>
      </c>
      <c r="AP32" s="125">
        <f t="shared" si="0"/>
        <v>3.13260869565217</v>
      </c>
      <c r="AQ32" s="44">
        <f t="shared" si="11"/>
        <v>1647.65535235415</v>
      </c>
      <c r="AR32" s="198">
        <f t="shared" si="1"/>
        <v>6.50361224389235</v>
      </c>
      <c r="AZ32" s="5" t="s">
        <v>92</v>
      </c>
      <c r="BA32" s="5">
        <v>5145</v>
      </c>
    </row>
    <row r="33" s="8" customFormat="1" ht="17" customHeight="1" spans="1:53">
      <c r="A33" s="52">
        <v>13</v>
      </c>
      <c r="B33" s="53" t="s">
        <v>65</v>
      </c>
      <c r="C33" s="52" t="s">
        <v>93</v>
      </c>
      <c r="D33" s="52">
        <v>2018</v>
      </c>
      <c r="E33" s="31" t="s">
        <v>94</v>
      </c>
      <c r="F33" s="31"/>
      <c r="G33" s="189">
        <f t="shared" si="25"/>
        <v>6714.43</v>
      </c>
      <c r="H33" s="189">
        <f t="shared" si="26"/>
        <v>3697.96717933203</v>
      </c>
      <c r="I33" s="189">
        <v>93751</v>
      </c>
      <c r="J33" s="44">
        <f t="shared" si="16"/>
        <v>56250.6</v>
      </c>
      <c r="K33" s="44">
        <f t="shared" si="17"/>
        <v>0</v>
      </c>
      <c r="L33" s="44">
        <f t="shared" si="18"/>
        <v>0</v>
      </c>
      <c r="M33" s="44">
        <f t="shared" si="19"/>
        <v>56250.6</v>
      </c>
      <c r="N33" s="44">
        <f t="shared" si="20"/>
        <v>0</v>
      </c>
      <c r="O33" s="44">
        <f t="shared" si="21"/>
        <v>0</v>
      </c>
      <c r="P33" s="44">
        <v>13932</v>
      </c>
      <c r="Q33" s="44">
        <v>18112</v>
      </c>
      <c r="R33" s="44">
        <f t="shared" si="22"/>
        <v>18112</v>
      </c>
      <c r="S33" s="44"/>
      <c r="T33" s="44">
        <f>IF(AND(Q33&gt;=800,Q33&lt;3000),Q33*0.6,0)</f>
        <v>0</v>
      </c>
      <c r="U33" s="44"/>
      <c r="V33" s="44">
        <f>Q33*1</f>
        <v>18112</v>
      </c>
      <c r="W33" s="44">
        <f t="shared" si="33"/>
        <v>1246.52352115279</v>
      </c>
      <c r="X33" s="76">
        <v>10243</v>
      </c>
      <c r="Y33" s="115">
        <f t="shared" si="24"/>
        <v>0.491769157994324</v>
      </c>
      <c r="Z33" s="44">
        <f t="shared" si="27"/>
        <v>1223.20084407419</v>
      </c>
      <c r="AA33" s="44"/>
      <c r="AB33" s="44"/>
      <c r="AC33" s="44"/>
      <c r="AD33" s="76">
        <f t="shared" ref="AD32:AD34" si="34">J33</f>
        <v>56250.6</v>
      </c>
      <c r="AE33" s="44">
        <f>H33-W33-Z33-AC33-AK33-AM33</f>
        <v>1107.39061333821</v>
      </c>
      <c r="AF33" s="44"/>
      <c r="AG33" s="44">
        <v>7</v>
      </c>
      <c r="AH33" s="44"/>
      <c r="AI33" s="44"/>
      <c r="AJ33" s="115">
        <f>VLOOKUP(B:B,'表6资金使用成效（12月30日）'!B:L,11,0)</f>
        <v>0.92479075863014</v>
      </c>
      <c r="AK33" s="44">
        <f t="shared" si="28"/>
        <v>59.5765423460578</v>
      </c>
      <c r="AL33" s="76">
        <v>92.24</v>
      </c>
      <c r="AM33" s="44">
        <f t="shared" si="29"/>
        <v>61.2756584207841</v>
      </c>
      <c r="AN33" s="67">
        <f t="shared" si="30"/>
        <v>3698</v>
      </c>
      <c r="AO33" s="67">
        <f t="shared" si="10"/>
        <v>-3016.43</v>
      </c>
      <c r="AP33" s="125">
        <f t="shared" si="0"/>
        <v>-0.44924587790773</v>
      </c>
      <c r="AQ33" s="44">
        <f t="shared" si="11"/>
        <v>0.0328206679700997</v>
      </c>
      <c r="AR33" s="198">
        <f t="shared" si="1"/>
        <v>8.87532700493794e-6</v>
      </c>
      <c r="AZ33" s="8" t="s">
        <v>95</v>
      </c>
      <c r="BA33" s="8">
        <v>33802.33</v>
      </c>
    </row>
    <row r="34" ht="17" customHeight="1" spans="1:53">
      <c r="A34" s="31">
        <v>14</v>
      </c>
      <c r="B34" s="51" t="s">
        <v>80</v>
      </c>
      <c r="C34" s="31" t="s">
        <v>90</v>
      </c>
      <c r="D34" s="31">
        <v>2017</v>
      </c>
      <c r="E34" s="31" t="s">
        <v>91</v>
      </c>
      <c r="F34" s="31"/>
      <c r="G34" s="189">
        <f t="shared" si="25"/>
        <v>2426</v>
      </c>
      <c r="H34" s="189">
        <f t="shared" si="26"/>
        <v>1336.11764171486</v>
      </c>
      <c r="I34" s="189">
        <v>122405</v>
      </c>
      <c r="J34" s="44">
        <f t="shared" si="16"/>
        <v>48962</v>
      </c>
      <c r="K34" s="44">
        <f t="shared" si="17"/>
        <v>0</v>
      </c>
      <c r="L34" s="44">
        <f t="shared" si="18"/>
        <v>48962</v>
      </c>
      <c r="M34" s="44">
        <f t="shared" si="19"/>
        <v>0</v>
      </c>
      <c r="N34" s="44">
        <f t="shared" si="20"/>
        <v>0</v>
      </c>
      <c r="O34" s="44">
        <f t="shared" si="21"/>
        <v>0</v>
      </c>
      <c r="P34" s="44">
        <v>5826</v>
      </c>
      <c r="Q34" s="44">
        <v>2841</v>
      </c>
      <c r="R34" s="44">
        <f t="shared" si="22"/>
        <v>1704.6</v>
      </c>
      <c r="S34" s="44"/>
      <c r="T34" s="44">
        <f>Q34*0.6</f>
        <v>1704.6</v>
      </c>
      <c r="U34" s="44"/>
      <c r="V34" s="44"/>
      <c r="W34" s="44">
        <f t="shared" si="33"/>
        <v>745.590404338407</v>
      </c>
      <c r="X34" s="76">
        <v>10847</v>
      </c>
      <c r="Y34" s="115">
        <f t="shared" si="24"/>
        <v>0.377483443708609</v>
      </c>
      <c r="Z34" s="44">
        <f t="shared" si="27"/>
        <v>938.932544797233</v>
      </c>
      <c r="AA34" s="44"/>
      <c r="AB34" s="44"/>
      <c r="AC34" s="44"/>
      <c r="AD34" s="76">
        <f t="shared" si="34"/>
        <v>48962</v>
      </c>
      <c r="AE34" s="44"/>
      <c r="AF34" s="44"/>
      <c r="AG34" s="44">
        <v>8</v>
      </c>
      <c r="AH34" s="44"/>
      <c r="AI34" s="44"/>
      <c r="AJ34" s="115">
        <f>VLOOKUP(B:B,'表6资金使用成效（12月30日）'!B:L,11,0)</f>
        <v>0.938322495315772</v>
      </c>
      <c r="AK34" s="44">
        <f t="shared" si="28"/>
        <v>60.4482790888226</v>
      </c>
      <c r="AL34" s="76">
        <v>89.5</v>
      </c>
      <c r="AM34" s="44">
        <f t="shared" si="29"/>
        <v>59.4554578128813</v>
      </c>
      <c r="AN34" s="67">
        <f t="shared" si="30"/>
        <v>1804</v>
      </c>
      <c r="AO34" s="67">
        <f t="shared" si="10"/>
        <v>-622</v>
      </c>
      <c r="AP34" s="125">
        <f t="shared" si="0"/>
        <v>-0.25638911788953</v>
      </c>
      <c r="AQ34" s="44">
        <f t="shared" si="11"/>
        <v>467.88235828514</v>
      </c>
      <c r="AR34" s="198">
        <f t="shared" si="1"/>
        <v>0.350180510815372</v>
      </c>
      <c r="AZ34" s="5" t="s">
        <v>96</v>
      </c>
      <c r="BA34" s="5">
        <v>4954</v>
      </c>
    </row>
    <row r="35" s="6" customFormat="1" ht="17" customHeight="1" spans="1:75">
      <c r="A35" s="39"/>
      <c r="B35" s="40" t="s">
        <v>82</v>
      </c>
      <c r="C35" s="41">
        <v>1</v>
      </c>
      <c r="D35" s="41"/>
      <c r="E35" s="41"/>
      <c r="F35" s="41"/>
      <c r="G35" s="119">
        <f>G36+G37</f>
        <v>76855.33</v>
      </c>
      <c r="H35" s="119">
        <f>H36+H37</f>
        <v>42328.0141272948</v>
      </c>
      <c r="I35" s="119">
        <f t="shared" ref="I35:O35" si="35">I36+I37</f>
        <v>1520677</v>
      </c>
      <c r="J35" s="43">
        <f t="shared" si="35"/>
        <v>1278661.6</v>
      </c>
      <c r="K35" s="43">
        <f t="shared" si="35"/>
        <v>2262.2</v>
      </c>
      <c r="L35" s="43">
        <f t="shared" si="35"/>
        <v>0</v>
      </c>
      <c r="M35" s="43">
        <f t="shared" si="35"/>
        <v>57650.4</v>
      </c>
      <c r="N35" s="43">
        <f t="shared" si="35"/>
        <v>778132</v>
      </c>
      <c r="O35" s="43">
        <f t="shared" si="35"/>
        <v>440617</v>
      </c>
      <c r="P35" s="43">
        <v>225041</v>
      </c>
      <c r="Q35" s="43">
        <f t="shared" ref="Q35:W35" si="36">Q36+Q37</f>
        <v>306956</v>
      </c>
      <c r="R35" s="43">
        <f t="shared" si="36"/>
        <v>304638.2</v>
      </c>
      <c r="S35" s="43">
        <f t="shared" si="36"/>
        <v>0</v>
      </c>
      <c r="T35" s="43">
        <f t="shared" si="36"/>
        <v>1014.6</v>
      </c>
      <c r="U35" s="43">
        <f t="shared" si="36"/>
        <v>6565.6</v>
      </c>
      <c r="V35" s="43">
        <f t="shared" si="36"/>
        <v>297058</v>
      </c>
      <c r="W35" s="43">
        <f t="shared" si="36"/>
        <v>24965.6698968425</v>
      </c>
      <c r="X35" s="77"/>
      <c r="Y35" s="118">
        <f t="shared" ref="Y35:AI35" si="37">Y36+Y37</f>
        <v>2.9682119205298</v>
      </c>
      <c r="Z35" s="43">
        <f t="shared" si="37"/>
        <v>7382.97485224772</v>
      </c>
      <c r="AA35" s="43">
        <v>0</v>
      </c>
      <c r="AB35" s="43">
        <f t="shared" si="37"/>
        <v>0</v>
      </c>
      <c r="AC35" s="43">
        <f t="shared" si="37"/>
        <v>0</v>
      </c>
      <c r="AD35" s="54">
        <f t="shared" si="37"/>
        <v>1276399.4</v>
      </c>
      <c r="AE35" s="43">
        <f t="shared" si="37"/>
        <v>11628.9977384396</v>
      </c>
      <c r="AF35" s="119">
        <f t="shared" si="37"/>
        <v>0</v>
      </c>
      <c r="AG35" s="119">
        <f t="shared" si="37"/>
        <v>72</v>
      </c>
      <c r="AH35" s="119">
        <f t="shared" si="37"/>
        <v>310.273858921162</v>
      </c>
      <c r="AI35" s="43">
        <f t="shared" si="37"/>
        <v>0</v>
      </c>
      <c r="AJ35" s="118"/>
      <c r="AK35" s="43">
        <f t="shared" ref="AK35:AO35" si="38">AK36+AK37</f>
        <v>678.803209124381</v>
      </c>
      <c r="AL35" s="54">
        <f t="shared" si="38"/>
        <v>984.82</v>
      </c>
      <c r="AM35" s="43">
        <f t="shared" si="38"/>
        <v>654.22261411488</v>
      </c>
      <c r="AN35" s="119">
        <f t="shared" si="38"/>
        <v>45312</v>
      </c>
      <c r="AO35" s="119">
        <f t="shared" si="38"/>
        <v>-31543.33</v>
      </c>
      <c r="AP35" s="125">
        <f t="shared" si="0"/>
        <v>-0.41042475518614</v>
      </c>
      <c r="AQ35" s="118">
        <f>AQ36+AQ37</f>
        <v>2983.98587270517</v>
      </c>
      <c r="AR35" s="198">
        <f t="shared" si="1"/>
        <v>0.0704967132105775</v>
      </c>
      <c r="AS35" s="5"/>
      <c r="AT35" s="5"/>
      <c r="AU35" s="5"/>
      <c r="AV35" s="5"/>
      <c r="AW35" s="5"/>
      <c r="AX35" s="5"/>
      <c r="AY35" s="5"/>
      <c r="AZ35" s="5" t="s">
        <v>97</v>
      </c>
      <c r="BA35" s="5">
        <v>1627</v>
      </c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</row>
    <row r="36" ht="17" customHeight="1" spans="1:53">
      <c r="A36" s="29"/>
      <c r="B36" s="30" t="s">
        <v>83</v>
      </c>
      <c r="C36" s="31">
        <v>2</v>
      </c>
      <c r="D36" s="31"/>
      <c r="E36" s="31"/>
      <c r="F36" s="31"/>
      <c r="G36" s="189"/>
      <c r="H36" s="189"/>
      <c r="I36" s="189"/>
      <c r="J36" s="44">
        <f t="shared" ref="J36:J48" si="39">SUM(K36:O36)</f>
        <v>0</v>
      </c>
      <c r="K36" s="44">
        <f t="shared" ref="K36:K48" si="40">IF(D36="",I36*0.2,0)</f>
        <v>0</v>
      </c>
      <c r="L36" s="44">
        <f t="shared" ref="L36:L48" si="41">IF(D36=2017,I36*0.4,0)</f>
        <v>0</v>
      </c>
      <c r="M36" s="44">
        <f t="shared" ref="M36:M48" si="42">IF(D36=2018,I36*0.6,0)</f>
        <v>0</v>
      </c>
      <c r="N36" s="44">
        <f t="shared" ref="N36:N48" si="43">IF(D36=2019,I36*0.8,0)</f>
        <v>0</v>
      </c>
      <c r="O36" s="44">
        <f t="shared" ref="O36:O48" si="44">IF(D36=2020,I36*1,0)</f>
        <v>0</v>
      </c>
      <c r="P36" s="44"/>
      <c r="Q36" s="44"/>
      <c r="R36" s="44">
        <f>N36*0.4+O36*0.6+P36*0.8+Q36*1</f>
        <v>0</v>
      </c>
      <c r="S36" s="44">
        <f>Q36-T36-U36-V36</f>
        <v>0</v>
      </c>
      <c r="T36" s="44"/>
      <c r="U36" s="44"/>
      <c r="V36" s="44"/>
      <c r="W36" s="44"/>
      <c r="X36" s="76"/>
      <c r="Y36" s="115"/>
      <c r="Z36" s="44"/>
      <c r="AA36" s="44"/>
      <c r="AB36" s="44"/>
      <c r="AC36" s="44"/>
      <c r="AD36" s="76"/>
      <c r="AE36" s="44"/>
      <c r="AF36" s="44"/>
      <c r="AG36" s="44"/>
      <c r="AH36" s="44"/>
      <c r="AI36" s="44"/>
      <c r="AJ36" s="115"/>
      <c r="AK36" s="44">
        <f>AJ36/$AJ$9*0.05*200000</f>
        <v>0</v>
      </c>
      <c r="AL36" s="76"/>
      <c r="AM36" s="44">
        <f>(AL36/$AL$9)*0.05*200000</f>
        <v>0</v>
      </c>
      <c r="AN36" s="67">
        <f>ROUND(AM36+AK36+AE36+AC36+Z36+W36,0)</f>
        <v>0</v>
      </c>
      <c r="AO36" s="67">
        <f t="shared" ref="AO36:AO48" si="45">AN36-G36</f>
        <v>0</v>
      </c>
      <c r="AP36" s="125"/>
      <c r="AQ36" s="115">
        <f t="shared" ref="AQ36:AQ48" si="46">AN36-H36</f>
        <v>0</v>
      </c>
      <c r="AR36" s="198"/>
      <c r="AZ36" s="5" t="s">
        <v>98</v>
      </c>
      <c r="BA36" s="5">
        <v>3306</v>
      </c>
    </row>
    <row r="37" s="7" customFormat="1" ht="17" customHeight="1" spans="1:75">
      <c r="A37" s="45"/>
      <c r="B37" s="46" t="s">
        <v>76</v>
      </c>
      <c r="C37" s="47">
        <v>3</v>
      </c>
      <c r="D37" s="47"/>
      <c r="E37" s="47"/>
      <c r="F37" s="47"/>
      <c r="G37" s="121">
        <f>SUM(G38:G48)</f>
        <v>76855.33</v>
      </c>
      <c r="H37" s="121">
        <f>SUM(H38:H48)</f>
        <v>42328.0141272948</v>
      </c>
      <c r="I37" s="121">
        <f t="shared" ref="I37:O37" si="47">SUM(I38:I48)</f>
        <v>1520677</v>
      </c>
      <c r="J37" s="49">
        <f t="shared" si="47"/>
        <v>1278661.6</v>
      </c>
      <c r="K37" s="49">
        <f t="shared" si="47"/>
        <v>2262.2</v>
      </c>
      <c r="L37" s="49">
        <f t="shared" si="47"/>
        <v>0</v>
      </c>
      <c r="M37" s="49">
        <f t="shared" si="47"/>
        <v>57650.4</v>
      </c>
      <c r="N37" s="49">
        <f t="shared" si="47"/>
        <v>778132</v>
      </c>
      <c r="O37" s="49">
        <f t="shared" si="47"/>
        <v>440617</v>
      </c>
      <c r="P37" s="49">
        <v>225041</v>
      </c>
      <c r="Q37" s="49">
        <f t="shared" ref="Q37:W37" si="48">SUM(Q38:Q48)</f>
        <v>306956</v>
      </c>
      <c r="R37" s="49">
        <f t="shared" si="48"/>
        <v>304638.2</v>
      </c>
      <c r="S37" s="49">
        <f t="shared" si="48"/>
        <v>0</v>
      </c>
      <c r="T37" s="49">
        <f t="shared" si="48"/>
        <v>1014.6</v>
      </c>
      <c r="U37" s="49">
        <f t="shared" si="48"/>
        <v>6565.6</v>
      </c>
      <c r="V37" s="49">
        <f t="shared" si="48"/>
        <v>297058</v>
      </c>
      <c r="W37" s="49">
        <f t="shared" si="48"/>
        <v>24965.6698968425</v>
      </c>
      <c r="X37" s="78"/>
      <c r="Y37" s="120">
        <f t="shared" ref="Y37:AI37" si="49">SUM(Y38:Y48)</f>
        <v>2.9682119205298</v>
      </c>
      <c r="Z37" s="49">
        <f t="shared" si="49"/>
        <v>7382.97485224772</v>
      </c>
      <c r="AA37" s="49">
        <v>0</v>
      </c>
      <c r="AB37" s="49">
        <f t="shared" si="49"/>
        <v>0</v>
      </c>
      <c r="AC37" s="49">
        <f t="shared" si="49"/>
        <v>0</v>
      </c>
      <c r="AD37" s="55">
        <f t="shared" si="49"/>
        <v>1276399.4</v>
      </c>
      <c r="AE37" s="49">
        <f t="shared" si="49"/>
        <v>11628.9977384396</v>
      </c>
      <c r="AF37" s="121">
        <f t="shared" si="49"/>
        <v>0</v>
      </c>
      <c r="AG37" s="121">
        <f t="shared" si="49"/>
        <v>72</v>
      </c>
      <c r="AH37" s="121">
        <f t="shared" si="49"/>
        <v>310.273858921162</v>
      </c>
      <c r="AI37" s="49">
        <f t="shared" si="49"/>
        <v>0</v>
      </c>
      <c r="AJ37" s="120"/>
      <c r="AK37" s="49">
        <f t="shared" ref="AK37:AO37" si="50">SUM(AK38:AK48)</f>
        <v>678.803209124381</v>
      </c>
      <c r="AL37" s="55">
        <f t="shared" si="50"/>
        <v>984.82</v>
      </c>
      <c r="AM37" s="49">
        <f t="shared" si="50"/>
        <v>654.22261411488</v>
      </c>
      <c r="AN37" s="121">
        <f t="shared" si="50"/>
        <v>45312</v>
      </c>
      <c r="AO37" s="121">
        <f t="shared" si="50"/>
        <v>-31543.33</v>
      </c>
      <c r="AP37" s="125">
        <f t="shared" si="0"/>
        <v>-0.41042475518614</v>
      </c>
      <c r="AQ37" s="120">
        <f>SUM(AQ38:AQ48)</f>
        <v>2983.98587270517</v>
      </c>
      <c r="AR37" s="198">
        <f t="shared" si="1"/>
        <v>0.0704967132105775</v>
      </c>
      <c r="AS37" s="5"/>
      <c r="AT37" s="5"/>
      <c r="AU37" s="5"/>
      <c r="AV37" s="5"/>
      <c r="AW37" s="5"/>
      <c r="AX37" s="5"/>
      <c r="AY37" s="5"/>
      <c r="AZ37" s="5" t="s">
        <v>99</v>
      </c>
      <c r="BA37" s="5">
        <v>34255</v>
      </c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</row>
    <row r="38" ht="17" customHeight="1" spans="1:53">
      <c r="A38" s="31">
        <v>15</v>
      </c>
      <c r="B38" s="51" t="s">
        <v>84</v>
      </c>
      <c r="C38" s="31" t="s">
        <v>93</v>
      </c>
      <c r="D38" s="31">
        <v>2019</v>
      </c>
      <c r="E38" s="31" t="s">
        <v>94</v>
      </c>
      <c r="F38" s="31"/>
      <c r="G38" s="189">
        <f t="shared" ref="G38:G48" si="51">VLOOKUP(B:B,$AZ:$BA,2,0)</f>
        <v>4664</v>
      </c>
      <c r="H38" s="189">
        <f t="shared" ref="H38:H48" si="52">G38*210000/381298.76</f>
        <v>2568.69442743533</v>
      </c>
      <c r="I38" s="189">
        <v>179608</v>
      </c>
      <c r="J38" s="44">
        <f t="shared" si="39"/>
        <v>143686.4</v>
      </c>
      <c r="K38" s="44">
        <f t="shared" si="40"/>
        <v>0</v>
      </c>
      <c r="L38" s="44">
        <f t="shared" si="41"/>
        <v>0</v>
      </c>
      <c r="M38" s="44">
        <f t="shared" si="42"/>
        <v>0</v>
      </c>
      <c r="N38" s="44">
        <f t="shared" si="43"/>
        <v>143686.4</v>
      </c>
      <c r="O38" s="44">
        <f t="shared" si="44"/>
        <v>0</v>
      </c>
      <c r="P38" s="44">
        <v>17619</v>
      </c>
      <c r="Q38" s="44">
        <v>34418</v>
      </c>
      <c r="R38" s="44">
        <f t="shared" ref="R38:R48" si="53">S38+T38+U38+V38</f>
        <v>34418</v>
      </c>
      <c r="S38" s="44"/>
      <c r="T38" s="44"/>
      <c r="U38" s="44"/>
      <c r="V38" s="44">
        <f t="shared" ref="V38:V43" si="54">Q38*1</f>
        <v>34418</v>
      </c>
      <c r="W38" s="44">
        <f t="shared" ref="W38:W48" si="55">(J38/$J$9*0.2+P38/$P$9*0.05+R38/$R$9*0.05)*299423</f>
        <v>2670.58343489672</v>
      </c>
      <c r="X38" s="76">
        <v>12657</v>
      </c>
      <c r="Y38" s="115">
        <f t="shared" ref="Y38:Y48" si="56">IF(X38&lt;12842,(12842-X38)/(12842-$X$175),0)</f>
        <v>0.0350047303689688</v>
      </c>
      <c r="Z38" s="44">
        <f t="shared" ref="Z38:Z48" si="57">(Y38/$Y$9*0.15)*299423</f>
        <v>87.068932725558</v>
      </c>
      <c r="AA38" s="44"/>
      <c r="AB38" s="44"/>
      <c r="AC38" s="44"/>
      <c r="AD38" s="76">
        <f t="shared" ref="AD38:AD47" si="58">J38</f>
        <v>143686.4</v>
      </c>
      <c r="AE38" s="44"/>
      <c r="AF38" s="44"/>
      <c r="AG38" s="44">
        <v>8</v>
      </c>
      <c r="AH38" s="44"/>
      <c r="AI38" s="44"/>
      <c r="AJ38" s="115">
        <f>VLOOKUP(B:B,'表6资金使用成效（12月30日）'!B:L,11,0)</f>
        <v>0.977383249973362</v>
      </c>
      <c r="AK38" s="44">
        <f t="shared" ref="AK38:AK48" si="59">AJ38/$AJ$9*0.025*299423</f>
        <v>62.9646371754604</v>
      </c>
      <c r="AL38" s="76">
        <v>89.01</v>
      </c>
      <c r="AM38" s="44">
        <f t="shared" ref="AM38:AM48" si="60">(AL38/$AL$9)*0.025*299423</f>
        <v>59.1299474851907</v>
      </c>
      <c r="AN38" s="67">
        <f t="shared" ref="AN38:AN48" si="61">ROUND(AM38+AK38+AE38+AC38+Z38+W38+AI38+AF38,0)</f>
        <v>2880</v>
      </c>
      <c r="AO38" s="67">
        <f t="shared" si="45"/>
        <v>-1784</v>
      </c>
      <c r="AP38" s="125">
        <f t="shared" si="0"/>
        <v>-0.382504288164666</v>
      </c>
      <c r="AQ38" s="44">
        <f t="shared" si="46"/>
        <v>311.30557256467</v>
      </c>
      <c r="AR38" s="198">
        <f t="shared" si="1"/>
        <v>0.121192139181572</v>
      </c>
      <c r="AZ38" s="5" t="s">
        <v>100</v>
      </c>
      <c r="BA38" s="5">
        <v>0</v>
      </c>
    </row>
    <row r="39" ht="17" customHeight="1" spans="1:53">
      <c r="A39" s="31">
        <v>16</v>
      </c>
      <c r="B39" s="51" t="s">
        <v>85</v>
      </c>
      <c r="C39" s="31" t="s">
        <v>93</v>
      </c>
      <c r="D39" s="31">
        <v>2019</v>
      </c>
      <c r="E39" s="31" t="s">
        <v>94</v>
      </c>
      <c r="F39" s="31"/>
      <c r="G39" s="189">
        <f t="shared" si="51"/>
        <v>4056</v>
      </c>
      <c r="H39" s="189">
        <f t="shared" si="52"/>
        <v>2233.83889315559</v>
      </c>
      <c r="I39" s="189">
        <v>99652</v>
      </c>
      <c r="J39" s="44">
        <f t="shared" si="39"/>
        <v>79721.6</v>
      </c>
      <c r="K39" s="44">
        <f t="shared" si="40"/>
        <v>0</v>
      </c>
      <c r="L39" s="44">
        <f t="shared" si="41"/>
        <v>0</v>
      </c>
      <c r="M39" s="44">
        <f t="shared" si="42"/>
        <v>0</v>
      </c>
      <c r="N39" s="44">
        <f t="shared" si="43"/>
        <v>79721.6</v>
      </c>
      <c r="O39" s="44">
        <f t="shared" si="44"/>
        <v>0</v>
      </c>
      <c r="P39" s="44">
        <v>13634</v>
      </c>
      <c r="Q39" s="44">
        <v>19688</v>
      </c>
      <c r="R39" s="44">
        <f t="shared" si="53"/>
        <v>19688</v>
      </c>
      <c r="S39" s="44"/>
      <c r="T39" s="44"/>
      <c r="U39" s="44"/>
      <c r="V39" s="44">
        <f t="shared" si="54"/>
        <v>19688</v>
      </c>
      <c r="W39" s="44">
        <f t="shared" si="55"/>
        <v>1560.59159076761</v>
      </c>
      <c r="X39" s="76">
        <v>11335</v>
      </c>
      <c r="Y39" s="115">
        <f t="shared" si="56"/>
        <v>0.285146641438032</v>
      </c>
      <c r="Z39" s="44">
        <f t="shared" si="57"/>
        <v>709.258819553599</v>
      </c>
      <c r="AA39" s="44"/>
      <c r="AB39" s="44"/>
      <c r="AC39" s="44"/>
      <c r="AD39" s="76">
        <f t="shared" si="58"/>
        <v>79721.6</v>
      </c>
      <c r="AE39" s="44"/>
      <c r="AF39" s="44"/>
      <c r="AG39" s="44">
        <v>5</v>
      </c>
      <c r="AH39" s="44"/>
      <c r="AI39" s="44"/>
      <c r="AJ39" s="115">
        <f>VLOOKUP(B:B,'表6资金使用成效（12月30日）'!B:L,11,0)</f>
        <v>0.916704065294491</v>
      </c>
      <c r="AK39" s="44">
        <f t="shared" si="59"/>
        <v>59.0555842553168</v>
      </c>
      <c r="AL39" s="76">
        <v>90.15</v>
      </c>
      <c r="AM39" s="44">
        <f t="shared" si="60"/>
        <v>59.8872572271648</v>
      </c>
      <c r="AN39" s="67">
        <f t="shared" si="61"/>
        <v>2389</v>
      </c>
      <c r="AO39" s="67">
        <f t="shared" si="45"/>
        <v>-1667</v>
      </c>
      <c r="AP39" s="125">
        <f t="shared" si="0"/>
        <v>-0.410996055226824</v>
      </c>
      <c r="AQ39" s="44">
        <f t="shared" si="46"/>
        <v>155.16110684441</v>
      </c>
      <c r="AR39" s="198">
        <f t="shared" si="1"/>
        <v>0.0694593989386694</v>
      </c>
      <c r="AZ39" s="5" t="s">
        <v>101</v>
      </c>
      <c r="BA39" s="5">
        <v>553</v>
      </c>
    </row>
    <row r="40" ht="17" customHeight="1" spans="1:53">
      <c r="A40" s="31">
        <v>17</v>
      </c>
      <c r="B40" s="51" t="s">
        <v>86</v>
      </c>
      <c r="C40" s="31" t="s">
        <v>93</v>
      </c>
      <c r="D40" s="31">
        <v>2019</v>
      </c>
      <c r="E40" s="31" t="s">
        <v>94</v>
      </c>
      <c r="F40" s="31"/>
      <c r="G40" s="189">
        <f t="shared" si="51"/>
        <v>5450</v>
      </c>
      <c r="H40" s="189">
        <f t="shared" si="52"/>
        <v>3001.58332536932</v>
      </c>
      <c r="I40" s="189">
        <v>143330</v>
      </c>
      <c r="J40" s="44">
        <f t="shared" si="39"/>
        <v>114664</v>
      </c>
      <c r="K40" s="44">
        <f t="shared" si="40"/>
        <v>0</v>
      </c>
      <c r="L40" s="44">
        <f t="shared" si="41"/>
        <v>0</v>
      </c>
      <c r="M40" s="44">
        <f t="shared" si="42"/>
        <v>0</v>
      </c>
      <c r="N40" s="44">
        <f t="shared" si="43"/>
        <v>114664</v>
      </c>
      <c r="O40" s="44">
        <f t="shared" si="44"/>
        <v>0</v>
      </c>
      <c r="P40" s="44">
        <v>21682</v>
      </c>
      <c r="Q40" s="44">
        <v>26169</v>
      </c>
      <c r="R40" s="44">
        <f t="shared" si="53"/>
        <v>26169</v>
      </c>
      <c r="S40" s="44"/>
      <c r="T40" s="44"/>
      <c r="U40" s="44"/>
      <c r="V40" s="44">
        <f t="shared" si="54"/>
        <v>26169</v>
      </c>
      <c r="W40" s="44">
        <f t="shared" si="55"/>
        <v>2247.29435788608</v>
      </c>
      <c r="X40" s="76">
        <v>11195</v>
      </c>
      <c r="Y40" s="115">
        <f t="shared" si="56"/>
        <v>0.311636707663198</v>
      </c>
      <c r="Z40" s="44">
        <f t="shared" si="57"/>
        <v>775.148822697266</v>
      </c>
      <c r="AA40" s="44"/>
      <c r="AB40" s="44"/>
      <c r="AC40" s="44"/>
      <c r="AD40" s="76">
        <f t="shared" si="58"/>
        <v>114664</v>
      </c>
      <c r="AE40" s="44"/>
      <c r="AF40" s="44"/>
      <c r="AG40" s="44">
        <v>6</v>
      </c>
      <c r="AH40" s="44"/>
      <c r="AI40" s="44"/>
      <c r="AJ40" s="115">
        <f>VLOOKUP(B:B,'表6资金使用成效（12月30日）'!B:L,11,0)</f>
        <v>0.989240174000166</v>
      </c>
      <c r="AK40" s="44">
        <f t="shared" si="59"/>
        <v>63.7284797309627</v>
      </c>
      <c r="AL40" s="76">
        <v>86.34</v>
      </c>
      <c r="AM40" s="44">
        <f t="shared" si="60"/>
        <v>57.3562483526723</v>
      </c>
      <c r="AN40" s="67">
        <f t="shared" si="61"/>
        <v>3144</v>
      </c>
      <c r="AO40" s="67">
        <f t="shared" si="45"/>
        <v>-2306</v>
      </c>
      <c r="AP40" s="125">
        <f t="shared" si="0"/>
        <v>-0.423119266055046</v>
      </c>
      <c r="AQ40" s="44">
        <f t="shared" si="46"/>
        <v>142.41667463068</v>
      </c>
      <c r="AR40" s="198">
        <f t="shared" si="1"/>
        <v>0.0474471834338155</v>
      </c>
      <c r="AZ40" s="5" t="s">
        <v>102</v>
      </c>
      <c r="BA40" s="5">
        <v>2441</v>
      </c>
    </row>
    <row r="41" ht="17" customHeight="1" spans="1:53">
      <c r="A41" s="31">
        <v>18</v>
      </c>
      <c r="B41" s="51" t="s">
        <v>87</v>
      </c>
      <c r="C41" s="31" t="s">
        <v>90</v>
      </c>
      <c r="D41" s="31">
        <v>2019</v>
      </c>
      <c r="E41" s="31" t="s">
        <v>94</v>
      </c>
      <c r="F41" s="31"/>
      <c r="G41" s="189">
        <f t="shared" si="51"/>
        <v>3486</v>
      </c>
      <c r="H41" s="189">
        <f t="shared" si="52"/>
        <v>1919.91182976834</v>
      </c>
      <c r="I41" s="189">
        <v>93810</v>
      </c>
      <c r="J41" s="44">
        <f t="shared" si="39"/>
        <v>75048</v>
      </c>
      <c r="K41" s="44">
        <f t="shared" si="40"/>
        <v>0</v>
      </c>
      <c r="L41" s="44">
        <f t="shared" si="41"/>
        <v>0</v>
      </c>
      <c r="M41" s="44">
        <f t="shared" si="42"/>
        <v>0</v>
      </c>
      <c r="N41" s="44">
        <f t="shared" si="43"/>
        <v>75048</v>
      </c>
      <c r="O41" s="44">
        <f t="shared" si="44"/>
        <v>0</v>
      </c>
      <c r="P41" s="44">
        <v>12223</v>
      </c>
      <c r="Q41" s="44">
        <v>28774</v>
      </c>
      <c r="R41" s="44">
        <f t="shared" si="53"/>
        <v>28774</v>
      </c>
      <c r="S41" s="44"/>
      <c r="T41" s="44"/>
      <c r="U41" s="44"/>
      <c r="V41" s="44">
        <f t="shared" si="54"/>
        <v>28774</v>
      </c>
      <c r="W41" s="44">
        <f t="shared" si="55"/>
        <v>1622.82497692309</v>
      </c>
      <c r="X41" s="76">
        <v>11357</v>
      </c>
      <c r="Y41" s="115">
        <f t="shared" si="56"/>
        <v>0.280983916745506</v>
      </c>
      <c r="Z41" s="44">
        <f t="shared" si="57"/>
        <v>698.904676202452</v>
      </c>
      <c r="AA41" s="44"/>
      <c r="AB41" s="44"/>
      <c r="AC41" s="44"/>
      <c r="AD41" s="76">
        <f t="shared" si="58"/>
        <v>75048</v>
      </c>
      <c r="AE41" s="44"/>
      <c r="AF41" s="44"/>
      <c r="AG41" s="44">
        <v>7</v>
      </c>
      <c r="AH41" s="44"/>
      <c r="AI41" s="44"/>
      <c r="AJ41" s="115">
        <f>VLOOKUP(B:B,'表6资金使用成效（12月30日）'!B:L,11,0)</f>
        <v>0.928710463989477</v>
      </c>
      <c r="AK41" s="44">
        <f t="shared" si="59"/>
        <v>59.8290562148928</v>
      </c>
      <c r="AL41" s="76">
        <v>90.26</v>
      </c>
      <c r="AM41" s="44">
        <f t="shared" si="60"/>
        <v>59.9603309741974</v>
      </c>
      <c r="AN41" s="67">
        <f t="shared" si="61"/>
        <v>2442</v>
      </c>
      <c r="AO41" s="67">
        <f t="shared" si="45"/>
        <v>-1044</v>
      </c>
      <c r="AP41" s="125">
        <f t="shared" si="0"/>
        <v>-0.299483648881239</v>
      </c>
      <c r="AQ41" s="44">
        <f t="shared" si="46"/>
        <v>522.08817023166</v>
      </c>
      <c r="AR41" s="198">
        <f t="shared" si="1"/>
        <v>0.271933409720516</v>
      </c>
      <c r="AZ41" s="5" t="s">
        <v>103</v>
      </c>
      <c r="BA41" s="5">
        <v>1192</v>
      </c>
    </row>
    <row r="42" ht="17" customHeight="1" spans="1:53">
      <c r="A42" s="31">
        <v>19</v>
      </c>
      <c r="B42" s="51" t="s">
        <v>88</v>
      </c>
      <c r="C42" s="31" t="s">
        <v>93</v>
      </c>
      <c r="D42" s="31">
        <v>2019</v>
      </c>
      <c r="E42" s="31" t="s">
        <v>94</v>
      </c>
      <c r="F42" s="31"/>
      <c r="G42" s="189">
        <f t="shared" si="51"/>
        <v>5185</v>
      </c>
      <c r="H42" s="189">
        <f t="shared" si="52"/>
        <v>2855.63477835595</v>
      </c>
      <c r="I42" s="189">
        <v>97140</v>
      </c>
      <c r="J42" s="44">
        <f t="shared" si="39"/>
        <v>77712</v>
      </c>
      <c r="K42" s="44">
        <f t="shared" si="40"/>
        <v>0</v>
      </c>
      <c r="L42" s="44">
        <f t="shared" si="41"/>
        <v>0</v>
      </c>
      <c r="M42" s="44">
        <f t="shared" si="42"/>
        <v>0</v>
      </c>
      <c r="N42" s="44">
        <f t="shared" si="43"/>
        <v>77712</v>
      </c>
      <c r="O42" s="44">
        <f t="shared" si="44"/>
        <v>0</v>
      </c>
      <c r="P42" s="44">
        <v>18808</v>
      </c>
      <c r="Q42" s="44">
        <v>29592</v>
      </c>
      <c r="R42" s="44">
        <f t="shared" si="53"/>
        <v>29592</v>
      </c>
      <c r="S42" s="44"/>
      <c r="T42" s="44"/>
      <c r="U42" s="44"/>
      <c r="V42" s="44">
        <f t="shared" si="54"/>
        <v>29592</v>
      </c>
      <c r="W42" s="44">
        <f t="shared" si="55"/>
        <v>1787.71739588905</v>
      </c>
      <c r="X42" s="76">
        <v>10738</v>
      </c>
      <c r="Y42" s="115">
        <f t="shared" si="56"/>
        <v>0.398107852412488</v>
      </c>
      <c r="Z42" s="44">
        <f t="shared" si="57"/>
        <v>990.232618673373</v>
      </c>
      <c r="AA42" s="44"/>
      <c r="AB42" s="44"/>
      <c r="AC42" s="44"/>
      <c r="AD42" s="76">
        <f t="shared" si="58"/>
        <v>77712</v>
      </c>
      <c r="AE42" s="44"/>
      <c r="AF42" s="44"/>
      <c r="AG42" s="44">
        <v>6</v>
      </c>
      <c r="AH42" s="44"/>
      <c r="AI42" s="44"/>
      <c r="AJ42" s="115">
        <f>VLOOKUP(B:B,'表6资金使用成效（12月30日）'!B:L,11,0)</f>
        <v>0.961932686750806</v>
      </c>
      <c r="AK42" s="44">
        <f t="shared" si="59"/>
        <v>61.9692864698992</v>
      </c>
      <c r="AL42" s="76">
        <v>94.05</v>
      </c>
      <c r="AM42" s="44">
        <f t="shared" si="60"/>
        <v>62.4780537128658</v>
      </c>
      <c r="AN42" s="67">
        <f t="shared" si="61"/>
        <v>2902</v>
      </c>
      <c r="AO42" s="67">
        <f t="shared" si="45"/>
        <v>-2283</v>
      </c>
      <c r="AP42" s="125">
        <f t="shared" si="0"/>
        <v>-0.440308582449373</v>
      </c>
      <c r="AQ42" s="44">
        <f t="shared" si="46"/>
        <v>46.3652216440501</v>
      </c>
      <c r="AR42" s="198">
        <f t="shared" si="1"/>
        <v>0.016236397593793</v>
      </c>
      <c r="AZ42" s="5" t="s">
        <v>104</v>
      </c>
      <c r="BA42" s="5">
        <v>2632</v>
      </c>
    </row>
    <row r="43" ht="17" customHeight="1" spans="1:53">
      <c r="A43" s="31">
        <v>20</v>
      </c>
      <c r="B43" s="51" t="s">
        <v>89</v>
      </c>
      <c r="C43" s="31" t="s">
        <v>93</v>
      </c>
      <c r="D43" s="31">
        <v>2019</v>
      </c>
      <c r="E43" s="31" t="s">
        <v>94</v>
      </c>
      <c r="F43" s="31"/>
      <c r="G43" s="189">
        <f t="shared" si="51"/>
        <v>5180</v>
      </c>
      <c r="H43" s="189">
        <f t="shared" si="52"/>
        <v>2852.88103218589</v>
      </c>
      <c r="I43" s="189">
        <v>148787</v>
      </c>
      <c r="J43" s="44">
        <f t="shared" si="39"/>
        <v>119029.6</v>
      </c>
      <c r="K43" s="44">
        <f t="shared" si="40"/>
        <v>0</v>
      </c>
      <c r="L43" s="44">
        <f t="shared" si="41"/>
        <v>0</v>
      </c>
      <c r="M43" s="44">
        <f t="shared" si="42"/>
        <v>0</v>
      </c>
      <c r="N43" s="44">
        <f t="shared" si="43"/>
        <v>119029.6</v>
      </c>
      <c r="O43" s="44">
        <f t="shared" si="44"/>
        <v>0</v>
      </c>
      <c r="P43" s="44">
        <v>23938</v>
      </c>
      <c r="Q43" s="44">
        <v>40191</v>
      </c>
      <c r="R43" s="44">
        <f t="shared" si="53"/>
        <v>40191</v>
      </c>
      <c r="S43" s="44"/>
      <c r="T43" s="44"/>
      <c r="U43" s="44"/>
      <c r="V43" s="44">
        <f t="shared" si="54"/>
        <v>40191</v>
      </c>
      <c r="W43" s="44">
        <f t="shared" si="55"/>
        <v>2568.08856510943</v>
      </c>
      <c r="X43" s="76">
        <v>11148</v>
      </c>
      <c r="Y43" s="115">
        <f t="shared" si="56"/>
        <v>0.320529801324503</v>
      </c>
      <c r="Z43" s="44">
        <f t="shared" si="57"/>
        <v>797.269038038352</v>
      </c>
      <c r="AA43" s="44"/>
      <c r="AB43" s="44"/>
      <c r="AC43" s="44"/>
      <c r="AD43" s="76">
        <f t="shared" si="58"/>
        <v>119029.6</v>
      </c>
      <c r="AE43" s="44"/>
      <c r="AF43" s="44"/>
      <c r="AG43" s="44">
        <v>6</v>
      </c>
      <c r="AH43" s="44"/>
      <c r="AI43" s="44"/>
      <c r="AJ43" s="115">
        <f>VLOOKUP(B:B,'表6资金使用成效（12月30日）'!B:L,11,0)</f>
        <v>0.949725577744453</v>
      </c>
      <c r="AK43" s="44">
        <f t="shared" si="59"/>
        <v>61.1828844218108</v>
      </c>
      <c r="AL43" s="76">
        <v>84.67</v>
      </c>
      <c r="AM43" s="44">
        <f t="shared" si="60"/>
        <v>56.2468560113594</v>
      </c>
      <c r="AN43" s="67">
        <f t="shared" si="61"/>
        <v>3483</v>
      </c>
      <c r="AO43" s="67">
        <f t="shared" si="45"/>
        <v>-1697</v>
      </c>
      <c r="AP43" s="125">
        <f t="shared" si="0"/>
        <v>-0.327606177606178</v>
      </c>
      <c r="AQ43" s="44">
        <f t="shared" si="46"/>
        <v>630.11896781411</v>
      </c>
      <c r="AR43" s="198">
        <f t="shared" si="1"/>
        <v>0.22087109862107</v>
      </c>
      <c r="AZ43" s="5" t="s">
        <v>105</v>
      </c>
      <c r="BA43" s="5">
        <v>289</v>
      </c>
    </row>
    <row r="44" ht="17" customHeight="1" spans="1:53">
      <c r="A44" s="31">
        <v>21</v>
      </c>
      <c r="B44" s="51" t="s">
        <v>92</v>
      </c>
      <c r="C44" s="31" t="s">
        <v>90</v>
      </c>
      <c r="D44" s="31">
        <v>2018</v>
      </c>
      <c r="E44" s="31" t="s">
        <v>91</v>
      </c>
      <c r="F44" s="31"/>
      <c r="G44" s="189">
        <f t="shared" si="51"/>
        <v>5145</v>
      </c>
      <c r="H44" s="189">
        <f t="shared" si="52"/>
        <v>2833.60480899544</v>
      </c>
      <c r="I44" s="189">
        <v>39345</v>
      </c>
      <c r="J44" s="44">
        <f t="shared" si="39"/>
        <v>23607</v>
      </c>
      <c r="K44" s="44">
        <f t="shared" si="40"/>
        <v>0</v>
      </c>
      <c r="L44" s="44">
        <f t="shared" si="41"/>
        <v>0</v>
      </c>
      <c r="M44" s="44">
        <f t="shared" si="42"/>
        <v>23607</v>
      </c>
      <c r="N44" s="44">
        <f t="shared" si="43"/>
        <v>0</v>
      </c>
      <c r="O44" s="44">
        <f t="shared" si="44"/>
        <v>0</v>
      </c>
      <c r="P44" s="44">
        <v>8040</v>
      </c>
      <c r="Q44" s="44">
        <v>8207</v>
      </c>
      <c r="R44" s="44">
        <f t="shared" si="53"/>
        <v>6565.6</v>
      </c>
      <c r="S44" s="44"/>
      <c r="T44" s="44"/>
      <c r="U44" s="44">
        <f>Q44*0.8</f>
        <v>6565.6</v>
      </c>
      <c r="V44" s="44"/>
      <c r="W44" s="44">
        <f t="shared" si="55"/>
        <v>545.895834292359</v>
      </c>
      <c r="X44" s="76">
        <v>11305</v>
      </c>
      <c r="Y44" s="115">
        <f t="shared" si="56"/>
        <v>0.290823084200568</v>
      </c>
      <c r="Z44" s="44">
        <f t="shared" si="57"/>
        <v>723.378105941529</v>
      </c>
      <c r="AA44" s="44"/>
      <c r="AB44" s="44"/>
      <c r="AC44" s="44"/>
      <c r="AD44" s="76">
        <f t="shared" si="58"/>
        <v>23607</v>
      </c>
      <c r="AE44" s="44">
        <f>H44-W44-Z44-AC44-AK44-AM44</f>
        <v>1439.35475077488</v>
      </c>
      <c r="AF44" s="44"/>
      <c r="AG44" s="44">
        <v>5</v>
      </c>
      <c r="AH44" s="44"/>
      <c r="AI44" s="44"/>
      <c r="AJ44" s="115">
        <f>VLOOKUP(B:B,'表6资金使用成效（12月30日）'!B:L,11,0)</f>
        <v>0.961066329302385</v>
      </c>
      <c r="AK44" s="44">
        <f t="shared" si="59"/>
        <v>61.9134742975445</v>
      </c>
      <c r="AL44" s="76">
        <v>94.93</v>
      </c>
      <c r="AM44" s="44">
        <f t="shared" si="60"/>
        <v>63.0626436891265</v>
      </c>
      <c r="AN44" s="67">
        <f t="shared" si="61"/>
        <v>2834</v>
      </c>
      <c r="AO44" s="67">
        <f t="shared" si="45"/>
        <v>-2311</v>
      </c>
      <c r="AP44" s="125">
        <f t="shared" si="0"/>
        <v>-0.449173955296404</v>
      </c>
      <c r="AQ44" s="44">
        <f t="shared" si="46"/>
        <v>0.39519100455982</v>
      </c>
      <c r="AR44" s="198">
        <f t="shared" si="1"/>
        <v>0.000139465815171284</v>
      </c>
      <c r="AZ44" s="5" t="s">
        <v>106</v>
      </c>
      <c r="BA44" s="5">
        <v>1347</v>
      </c>
    </row>
    <row r="45" s="5" customFormat="1" ht="17" customHeight="1" spans="1:53">
      <c r="A45" s="31">
        <v>22</v>
      </c>
      <c r="B45" s="51" t="s">
        <v>95</v>
      </c>
      <c r="C45" s="31" t="s">
        <v>93</v>
      </c>
      <c r="D45" s="31">
        <v>2020</v>
      </c>
      <c r="E45" s="31" t="s">
        <v>94</v>
      </c>
      <c r="F45" s="31"/>
      <c r="G45" s="189">
        <f t="shared" si="51"/>
        <v>33802.33</v>
      </c>
      <c r="H45" s="189">
        <f t="shared" si="52"/>
        <v>18616.6073553452</v>
      </c>
      <c r="I45" s="189">
        <v>440617</v>
      </c>
      <c r="J45" s="44">
        <f t="shared" si="39"/>
        <v>440617</v>
      </c>
      <c r="K45" s="44">
        <f t="shared" si="40"/>
        <v>0</v>
      </c>
      <c r="L45" s="44">
        <f t="shared" si="41"/>
        <v>0</v>
      </c>
      <c r="M45" s="44">
        <f t="shared" si="42"/>
        <v>0</v>
      </c>
      <c r="N45" s="44">
        <f t="shared" si="43"/>
        <v>0</v>
      </c>
      <c r="O45" s="44">
        <f t="shared" si="44"/>
        <v>440617</v>
      </c>
      <c r="P45" s="44">
        <v>68029</v>
      </c>
      <c r="Q45" s="44">
        <v>57501</v>
      </c>
      <c r="R45" s="44">
        <f t="shared" si="53"/>
        <v>57501</v>
      </c>
      <c r="S45" s="44"/>
      <c r="T45" s="44"/>
      <c r="U45" s="44"/>
      <c r="V45" s="44">
        <f t="shared" ref="V45:V47" si="62">Q45*1</f>
        <v>57501</v>
      </c>
      <c r="W45" s="44">
        <f t="shared" si="55"/>
        <v>7668.24895175916</v>
      </c>
      <c r="X45" s="76">
        <v>11490</v>
      </c>
      <c r="Y45" s="115">
        <f t="shared" si="56"/>
        <v>0.255818353831599</v>
      </c>
      <c r="Z45" s="44">
        <f t="shared" si="57"/>
        <v>636.30917321597</v>
      </c>
      <c r="AA45" s="44"/>
      <c r="AB45" s="44"/>
      <c r="AC45" s="44"/>
      <c r="AD45" s="76">
        <f t="shared" si="58"/>
        <v>440617</v>
      </c>
      <c r="AE45" s="44">
        <f>H45-W45-Z45-AC45-AK45-AM45</f>
        <v>10189.6429876647</v>
      </c>
      <c r="AF45" s="44"/>
      <c r="AG45" s="44">
        <v>10</v>
      </c>
      <c r="AH45" s="44"/>
      <c r="AI45" s="44"/>
      <c r="AJ45" s="115">
        <f>VLOOKUP(B:B,'表6资金使用成效（12月30日）'!B:L,11,0)</f>
        <v>0.950563633789482</v>
      </c>
      <c r="AK45" s="44">
        <f t="shared" si="59"/>
        <v>61.2368733711911</v>
      </c>
      <c r="AL45" s="76">
        <v>92.08</v>
      </c>
      <c r="AM45" s="44">
        <f t="shared" si="60"/>
        <v>61.1693693341912</v>
      </c>
      <c r="AN45" s="67">
        <f t="shared" si="61"/>
        <v>18617</v>
      </c>
      <c r="AO45" s="67">
        <f t="shared" si="45"/>
        <v>-15185.33</v>
      </c>
      <c r="AP45" s="126">
        <f t="shared" si="0"/>
        <v>-0.449239150082258</v>
      </c>
      <c r="AQ45" s="44">
        <f t="shared" si="46"/>
        <v>0.392644654799369</v>
      </c>
      <c r="AR45" s="198">
        <f t="shared" si="1"/>
        <v>2.10910961006347e-5</v>
      </c>
      <c r="AZ45" s="5" t="s">
        <v>107</v>
      </c>
      <c r="BA45" s="5">
        <v>19905</v>
      </c>
    </row>
    <row r="46" ht="17" customHeight="1" spans="1:53">
      <c r="A46" s="31">
        <v>23</v>
      </c>
      <c r="B46" s="51" t="s">
        <v>96</v>
      </c>
      <c r="C46" s="31" t="s">
        <v>93</v>
      </c>
      <c r="D46" s="31">
        <v>2019</v>
      </c>
      <c r="E46" s="31" t="s">
        <v>94</v>
      </c>
      <c r="F46" s="31"/>
      <c r="G46" s="189">
        <f t="shared" si="51"/>
        <v>4954</v>
      </c>
      <c r="H46" s="189">
        <f t="shared" si="52"/>
        <v>2728.41170529902</v>
      </c>
      <c r="I46" s="189">
        <v>210338</v>
      </c>
      <c r="J46" s="44">
        <f t="shared" si="39"/>
        <v>168270.4</v>
      </c>
      <c r="K46" s="44">
        <f t="shared" si="40"/>
        <v>0</v>
      </c>
      <c r="L46" s="44">
        <f t="shared" si="41"/>
        <v>0</v>
      </c>
      <c r="M46" s="44">
        <f t="shared" si="42"/>
        <v>0</v>
      </c>
      <c r="N46" s="44">
        <f t="shared" si="43"/>
        <v>168270.4</v>
      </c>
      <c r="O46" s="44">
        <f t="shared" si="44"/>
        <v>0</v>
      </c>
      <c r="P46" s="44">
        <v>31481</v>
      </c>
      <c r="Q46" s="44">
        <v>44470</v>
      </c>
      <c r="R46" s="44">
        <f t="shared" si="53"/>
        <v>44470</v>
      </c>
      <c r="S46" s="44"/>
      <c r="T46" s="44"/>
      <c r="U46" s="44"/>
      <c r="V46" s="44">
        <f t="shared" si="62"/>
        <v>44470</v>
      </c>
      <c r="W46" s="44">
        <f t="shared" si="55"/>
        <v>3389.44291428583</v>
      </c>
      <c r="X46" s="76">
        <v>10467</v>
      </c>
      <c r="Y46" s="115">
        <f t="shared" si="56"/>
        <v>0.449385052034059</v>
      </c>
      <c r="Z46" s="44">
        <f t="shared" si="57"/>
        <v>1117.77683904433</v>
      </c>
      <c r="AA46" s="44"/>
      <c r="AB46" s="44"/>
      <c r="AC46" s="44"/>
      <c r="AD46" s="76">
        <f t="shared" si="58"/>
        <v>168270.4</v>
      </c>
      <c r="AE46" s="44"/>
      <c r="AF46" s="44"/>
      <c r="AG46" s="44">
        <v>4</v>
      </c>
      <c r="AH46" s="44"/>
      <c r="AI46" s="44"/>
      <c r="AJ46" s="115">
        <f>VLOOKUP(B:B,'表6资金使用成效（12月30日）'!B:L,11,0)</f>
        <v>0.952275330080089</v>
      </c>
      <c r="AK46" s="44">
        <f t="shared" si="59"/>
        <v>61.3471436627022</v>
      </c>
      <c r="AL46" s="76">
        <v>79.68</v>
      </c>
      <c r="AM46" s="44">
        <f t="shared" si="60"/>
        <v>52.9319651232445</v>
      </c>
      <c r="AN46" s="67">
        <f t="shared" si="61"/>
        <v>4621</v>
      </c>
      <c r="AO46" s="67">
        <f t="shared" si="45"/>
        <v>-333</v>
      </c>
      <c r="AP46" s="125">
        <f t="shared" si="0"/>
        <v>-0.0672184093661688</v>
      </c>
      <c r="AQ46" s="44">
        <f t="shared" si="46"/>
        <v>1892.58829470098</v>
      </c>
      <c r="AR46" s="198">
        <f t="shared" si="1"/>
        <v>0.693659351711937</v>
      </c>
      <c r="AZ46" s="5" t="s">
        <v>108</v>
      </c>
      <c r="BA46" s="5">
        <v>968</v>
      </c>
    </row>
    <row r="47" ht="17" customHeight="1" spans="1:53">
      <c r="A47" s="31">
        <v>24</v>
      </c>
      <c r="B47" s="51" t="s">
        <v>97</v>
      </c>
      <c r="C47" s="31" t="s">
        <v>90</v>
      </c>
      <c r="D47" s="31">
        <v>2018</v>
      </c>
      <c r="E47" s="31" t="s">
        <v>91</v>
      </c>
      <c r="F47" s="31"/>
      <c r="G47" s="189">
        <f t="shared" si="51"/>
        <v>1627</v>
      </c>
      <c r="H47" s="189">
        <f t="shared" si="52"/>
        <v>896.069003738696</v>
      </c>
      <c r="I47" s="189">
        <v>56739</v>
      </c>
      <c r="J47" s="44">
        <f t="shared" si="39"/>
        <v>34043.4</v>
      </c>
      <c r="K47" s="44">
        <f t="shared" si="40"/>
        <v>0</v>
      </c>
      <c r="L47" s="44">
        <f t="shared" si="41"/>
        <v>0</v>
      </c>
      <c r="M47" s="44">
        <f t="shared" si="42"/>
        <v>34043.4</v>
      </c>
      <c r="N47" s="44">
        <f t="shared" si="43"/>
        <v>0</v>
      </c>
      <c r="O47" s="44">
        <f t="shared" si="44"/>
        <v>0</v>
      </c>
      <c r="P47" s="44">
        <v>9191</v>
      </c>
      <c r="Q47" s="44">
        <v>16255</v>
      </c>
      <c r="R47" s="44">
        <f t="shared" si="53"/>
        <v>16255</v>
      </c>
      <c r="S47" s="44"/>
      <c r="T47" s="44"/>
      <c r="U47" s="44"/>
      <c r="V47" s="44">
        <f t="shared" si="62"/>
        <v>16255</v>
      </c>
      <c r="W47" s="44">
        <f t="shared" si="55"/>
        <v>853.20051133942</v>
      </c>
      <c r="X47" s="76">
        <v>11041</v>
      </c>
      <c r="Y47" s="115">
        <f t="shared" si="56"/>
        <v>0.34077578051088</v>
      </c>
      <c r="Z47" s="44">
        <f t="shared" si="57"/>
        <v>847.627826155297</v>
      </c>
      <c r="AA47" s="44"/>
      <c r="AB47" s="44"/>
      <c r="AC47" s="44"/>
      <c r="AD47" s="76">
        <f t="shared" si="58"/>
        <v>34043.4</v>
      </c>
      <c r="AE47" s="44"/>
      <c r="AF47" s="44"/>
      <c r="AG47" s="44">
        <v>7</v>
      </c>
      <c r="AH47" s="44"/>
      <c r="AI47" s="44"/>
      <c r="AJ47" s="115">
        <f>VLOOKUP(B:B,'表6资金使用成效（12月30日）'!B:L,11,0)</f>
        <v>0.949279449375744</v>
      </c>
      <c r="AK47" s="44">
        <f t="shared" si="59"/>
        <v>61.1541440982272</v>
      </c>
      <c r="AL47" s="76">
        <v>91.77</v>
      </c>
      <c r="AM47" s="44">
        <f t="shared" si="60"/>
        <v>60.9634342289175</v>
      </c>
      <c r="AN47" s="67">
        <f t="shared" si="61"/>
        <v>1823</v>
      </c>
      <c r="AO47" s="67">
        <f t="shared" si="45"/>
        <v>196</v>
      </c>
      <c r="AP47" s="125">
        <f t="shared" si="0"/>
        <v>0.120467117393977</v>
      </c>
      <c r="AQ47" s="44">
        <f t="shared" si="46"/>
        <v>926.930996261304</v>
      </c>
      <c r="AR47" s="198">
        <f t="shared" si="1"/>
        <v>1.0344415356338</v>
      </c>
      <c r="AZ47" s="5" t="s">
        <v>109</v>
      </c>
      <c r="BA47" s="5">
        <v>4928</v>
      </c>
    </row>
    <row r="48" ht="17" customHeight="1" spans="1:53">
      <c r="A48" s="31">
        <v>25</v>
      </c>
      <c r="B48" s="51" t="s">
        <v>98</v>
      </c>
      <c r="C48" s="31" t="s">
        <v>78</v>
      </c>
      <c r="D48" s="31"/>
      <c r="E48" s="31"/>
      <c r="F48" s="31"/>
      <c r="G48" s="189">
        <f t="shared" si="51"/>
        <v>3306</v>
      </c>
      <c r="H48" s="189">
        <f t="shared" si="52"/>
        <v>1820.77696764605</v>
      </c>
      <c r="I48" s="189">
        <v>11311</v>
      </c>
      <c r="J48" s="44">
        <f t="shared" si="39"/>
        <v>2262.2</v>
      </c>
      <c r="K48" s="44">
        <f t="shared" si="40"/>
        <v>2262.2</v>
      </c>
      <c r="L48" s="44">
        <f t="shared" si="41"/>
        <v>0</v>
      </c>
      <c r="M48" s="44">
        <f t="shared" si="42"/>
        <v>0</v>
      </c>
      <c r="N48" s="44">
        <f t="shared" si="43"/>
        <v>0</v>
      </c>
      <c r="O48" s="44">
        <f t="shared" si="44"/>
        <v>0</v>
      </c>
      <c r="P48" s="44">
        <v>396</v>
      </c>
      <c r="Q48" s="44">
        <v>1691</v>
      </c>
      <c r="R48" s="44">
        <f t="shared" si="53"/>
        <v>1014.6</v>
      </c>
      <c r="S48" s="44"/>
      <c r="T48" s="44">
        <f>Q48*0.6</f>
        <v>1014.6</v>
      </c>
      <c r="U48" s="44"/>
      <c r="V48" s="44"/>
      <c r="W48" s="44">
        <f t="shared" si="55"/>
        <v>51.7813636937981</v>
      </c>
      <c r="X48" s="76">
        <v>13022</v>
      </c>
      <c r="Y48" s="115">
        <f t="shared" si="56"/>
        <v>0</v>
      </c>
      <c r="Z48" s="44">
        <f t="shared" si="57"/>
        <v>0</v>
      </c>
      <c r="AA48" s="44"/>
      <c r="AB48" s="44"/>
      <c r="AC48" s="44"/>
      <c r="AD48" s="76"/>
      <c r="AE48" s="44">
        <f>AD48/$AD$9*71500</f>
        <v>0</v>
      </c>
      <c r="AF48" s="44"/>
      <c r="AG48" s="44">
        <v>8</v>
      </c>
      <c r="AH48" s="44">
        <f>AG48/$AG$13*9347</f>
        <v>310.273858921162</v>
      </c>
      <c r="AI48" s="44"/>
      <c r="AJ48" s="115">
        <f>VLOOKUP(B:B,'表6资金使用成效（12月30日）'!B:L,11,0)</f>
        <v>1</v>
      </c>
      <c r="AK48" s="44">
        <f t="shared" si="59"/>
        <v>64.4216454263734</v>
      </c>
      <c r="AL48" s="76">
        <v>91.88</v>
      </c>
      <c r="AM48" s="44">
        <f t="shared" si="60"/>
        <v>61.0365079759501</v>
      </c>
      <c r="AN48" s="67">
        <f t="shared" si="61"/>
        <v>177</v>
      </c>
      <c r="AO48" s="67">
        <f t="shared" si="45"/>
        <v>-3129</v>
      </c>
      <c r="AP48" s="125">
        <f t="shared" si="0"/>
        <v>-0.946460980036298</v>
      </c>
      <c r="AQ48" s="44">
        <f t="shared" si="46"/>
        <v>-1643.77696764605</v>
      </c>
      <c r="AR48" s="198">
        <f t="shared" si="1"/>
        <v>-0.902788752743929</v>
      </c>
      <c r="AZ48" s="5" t="s">
        <v>110</v>
      </c>
      <c r="BA48" s="5">
        <v>13391</v>
      </c>
    </row>
    <row r="49" s="6" customFormat="1" ht="17" customHeight="1" spans="1:75">
      <c r="A49" s="39"/>
      <c r="B49" s="40" t="s">
        <v>99</v>
      </c>
      <c r="C49" s="41">
        <v>1</v>
      </c>
      <c r="D49" s="41"/>
      <c r="E49" s="41"/>
      <c r="F49" s="41"/>
      <c r="G49" s="119">
        <f>G50+G51</f>
        <v>34255</v>
      </c>
      <c r="H49" s="119">
        <f>H50+H51</f>
        <v>18865.9150111057</v>
      </c>
      <c r="I49" s="119">
        <f t="shared" ref="I49:O49" si="63">I50+I51</f>
        <v>740646</v>
      </c>
      <c r="J49" s="43">
        <f t="shared" si="63"/>
        <v>561552.8</v>
      </c>
      <c r="K49" s="43">
        <f t="shared" si="63"/>
        <v>15699.8</v>
      </c>
      <c r="L49" s="43">
        <f t="shared" si="63"/>
        <v>14656</v>
      </c>
      <c r="M49" s="43">
        <f t="shared" si="63"/>
        <v>96456</v>
      </c>
      <c r="N49" s="43">
        <f t="shared" si="63"/>
        <v>120024</v>
      </c>
      <c r="O49" s="43">
        <f t="shared" si="63"/>
        <v>314717</v>
      </c>
      <c r="P49" s="119">
        <v>86982</v>
      </c>
      <c r="Q49" s="43">
        <f t="shared" ref="Q49:W49" si="64">Q50+Q51</f>
        <v>156823</v>
      </c>
      <c r="R49" s="43">
        <f t="shared" si="64"/>
        <v>151584.8</v>
      </c>
      <c r="S49" s="43">
        <f t="shared" si="64"/>
        <v>859.6</v>
      </c>
      <c r="T49" s="43">
        <f t="shared" si="64"/>
        <v>0</v>
      </c>
      <c r="U49" s="43">
        <f t="shared" si="64"/>
        <v>15795.2</v>
      </c>
      <c r="V49" s="43">
        <f t="shared" si="64"/>
        <v>134930</v>
      </c>
      <c r="W49" s="54">
        <f t="shared" si="64"/>
        <v>11037.5031051189</v>
      </c>
      <c r="X49" s="77"/>
      <c r="Y49" s="118">
        <f t="shared" ref="Y49:AI49" si="65">Y50+Y51</f>
        <v>0.102932828760643</v>
      </c>
      <c r="Z49" s="54">
        <f t="shared" si="65"/>
        <v>256.029726501099</v>
      </c>
      <c r="AA49" s="54">
        <v>0</v>
      </c>
      <c r="AB49" s="54">
        <f t="shared" si="65"/>
        <v>0</v>
      </c>
      <c r="AC49" s="54">
        <f t="shared" si="65"/>
        <v>0</v>
      </c>
      <c r="AD49" s="54">
        <f t="shared" si="65"/>
        <v>492518</v>
      </c>
      <c r="AE49" s="54">
        <f t="shared" si="65"/>
        <v>4662.4786215957</v>
      </c>
      <c r="AF49" s="119">
        <f t="shared" si="65"/>
        <v>0</v>
      </c>
      <c r="AG49" s="119">
        <f t="shared" si="65"/>
        <v>72</v>
      </c>
      <c r="AH49" s="119">
        <f t="shared" si="65"/>
        <v>1241.09543568465</v>
      </c>
      <c r="AI49" s="54">
        <f t="shared" si="65"/>
        <v>0</v>
      </c>
      <c r="AJ49" s="118"/>
      <c r="AK49" s="54">
        <f t="shared" ref="AK49:AO49" si="66">AK50+AK51</f>
        <v>549.274873164212</v>
      </c>
      <c r="AL49" s="54">
        <f t="shared" si="66"/>
        <v>829.14</v>
      </c>
      <c r="AM49" s="54">
        <f t="shared" si="66"/>
        <v>550.803332860027</v>
      </c>
      <c r="AN49" s="119">
        <f t="shared" si="66"/>
        <v>17057</v>
      </c>
      <c r="AO49" s="119">
        <f t="shared" si="66"/>
        <v>-17198</v>
      </c>
      <c r="AP49" s="125">
        <f t="shared" si="0"/>
        <v>-0.502058093708948</v>
      </c>
      <c r="AQ49" s="118">
        <f>AQ50+AQ51</f>
        <v>-1808.91501110573</v>
      </c>
      <c r="AR49" s="198">
        <f t="shared" si="1"/>
        <v>-0.0958827075199313</v>
      </c>
      <c r="AS49" s="5"/>
      <c r="AT49" s="5"/>
      <c r="AU49" s="5"/>
      <c r="AV49" s="5"/>
      <c r="AW49" s="5"/>
      <c r="AX49" s="5"/>
      <c r="AY49" s="5"/>
      <c r="AZ49" s="5" t="s">
        <v>111</v>
      </c>
      <c r="BA49" s="5">
        <v>0</v>
      </c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</row>
    <row r="50" ht="17" customHeight="1" spans="1:53">
      <c r="A50" s="29"/>
      <c r="B50" s="30" t="s">
        <v>100</v>
      </c>
      <c r="C50" s="31">
        <v>2</v>
      </c>
      <c r="D50" s="31"/>
      <c r="E50" s="31"/>
      <c r="F50" s="31"/>
      <c r="G50" s="189"/>
      <c r="H50" s="189"/>
      <c r="I50" s="189"/>
      <c r="J50" s="44">
        <f t="shared" ref="J50:J60" si="67">SUM(K50:O50)</f>
        <v>0</v>
      </c>
      <c r="K50" s="44">
        <f t="shared" ref="K50:K60" si="68">IF(D50="",I50*0.2,0)</f>
        <v>0</v>
      </c>
      <c r="L50" s="44">
        <f t="shared" ref="L50:L60" si="69">IF(D50=2017,I50*0.4,0)</f>
        <v>0</v>
      </c>
      <c r="M50" s="44">
        <f t="shared" ref="M50:M60" si="70">IF(D50=2018,I50*0.6,0)</f>
        <v>0</v>
      </c>
      <c r="N50" s="44">
        <f t="shared" ref="N50:N60" si="71">IF(D50=2019,I50*0.8,0)</f>
        <v>0</v>
      </c>
      <c r="O50" s="44">
        <f t="shared" ref="O50:O60" si="72">IF(D50=2020,I50*1,0)</f>
        <v>0</v>
      </c>
      <c r="P50" s="44"/>
      <c r="Q50" s="44"/>
      <c r="R50" s="44">
        <f>N50*0.4+O50*0.6+P50*0.8+Q50*1</f>
        <v>0</v>
      </c>
      <c r="S50" s="44">
        <f>Q50-T50-U50-V50</f>
        <v>0</v>
      </c>
      <c r="T50" s="44"/>
      <c r="U50" s="44"/>
      <c r="V50" s="44"/>
      <c r="W50" s="44"/>
      <c r="X50" s="76"/>
      <c r="Y50" s="115"/>
      <c r="Z50" s="44"/>
      <c r="AA50" s="44"/>
      <c r="AB50" s="44"/>
      <c r="AC50" s="44"/>
      <c r="AD50" s="76"/>
      <c r="AE50" s="44"/>
      <c r="AF50" s="44"/>
      <c r="AG50" s="44"/>
      <c r="AH50" s="44"/>
      <c r="AI50" s="44"/>
      <c r="AJ50" s="115"/>
      <c r="AK50" s="44">
        <f>AJ50/$AJ$9*0.05*200000</f>
        <v>0</v>
      </c>
      <c r="AL50" s="76"/>
      <c r="AM50" s="44">
        <f>(AL50/$AL$9)*0.05*200000</f>
        <v>0</v>
      </c>
      <c r="AN50" s="67">
        <f>ROUND(AM50+AK50+AE50+AC50+Z50+W50,0)</f>
        <v>0</v>
      </c>
      <c r="AO50" s="67">
        <f t="shared" ref="AO50:AO60" si="73">AN50-G50</f>
        <v>0</v>
      </c>
      <c r="AP50" s="125"/>
      <c r="AQ50" s="115">
        <f t="shared" ref="AQ50:AQ60" si="74">AN50-H50</f>
        <v>0</v>
      </c>
      <c r="AR50" s="198"/>
      <c r="AZ50" s="5" t="s">
        <v>112</v>
      </c>
      <c r="BA50" s="5">
        <v>800</v>
      </c>
    </row>
    <row r="51" s="7" customFormat="1" ht="17" customHeight="1" spans="1:75">
      <c r="A51" s="45"/>
      <c r="B51" s="46" t="s">
        <v>76</v>
      </c>
      <c r="C51" s="47">
        <v>3</v>
      </c>
      <c r="D51" s="47"/>
      <c r="E51" s="47"/>
      <c r="F51" s="47"/>
      <c r="G51" s="121">
        <f>SUM(G52:G60)</f>
        <v>34255</v>
      </c>
      <c r="H51" s="121">
        <f>SUM(H52:H60)</f>
        <v>18865.9150111057</v>
      </c>
      <c r="I51" s="121">
        <f t="shared" ref="I51:O51" si="75">SUM(I52:I60)</f>
        <v>740646</v>
      </c>
      <c r="J51" s="49">
        <f t="shared" si="75"/>
        <v>561552.8</v>
      </c>
      <c r="K51" s="49">
        <f t="shared" si="75"/>
        <v>15699.8</v>
      </c>
      <c r="L51" s="49">
        <f t="shared" si="75"/>
        <v>14656</v>
      </c>
      <c r="M51" s="49">
        <f t="shared" si="75"/>
        <v>96456</v>
      </c>
      <c r="N51" s="49">
        <f t="shared" si="75"/>
        <v>120024</v>
      </c>
      <c r="O51" s="49">
        <f t="shared" si="75"/>
        <v>314717</v>
      </c>
      <c r="P51" s="121">
        <v>86982</v>
      </c>
      <c r="Q51" s="49">
        <f t="shared" ref="Q51:W51" si="76">SUM(Q52:Q60)</f>
        <v>156823</v>
      </c>
      <c r="R51" s="49">
        <f t="shared" si="76"/>
        <v>151584.8</v>
      </c>
      <c r="S51" s="49">
        <f t="shared" si="76"/>
        <v>859.6</v>
      </c>
      <c r="T51" s="49">
        <f t="shared" si="76"/>
        <v>0</v>
      </c>
      <c r="U51" s="49">
        <f t="shared" si="76"/>
        <v>15795.2</v>
      </c>
      <c r="V51" s="49">
        <f t="shared" si="76"/>
        <v>134930</v>
      </c>
      <c r="W51" s="55">
        <f t="shared" si="76"/>
        <v>11037.5031051189</v>
      </c>
      <c r="X51" s="78"/>
      <c r="Y51" s="120">
        <f t="shared" ref="Y51:AI51" si="77">SUM(Y52:Y60)</f>
        <v>0.102932828760643</v>
      </c>
      <c r="Z51" s="55">
        <f t="shared" si="77"/>
        <v>256.029726501099</v>
      </c>
      <c r="AA51" s="55">
        <v>0</v>
      </c>
      <c r="AB51" s="55">
        <f t="shared" si="77"/>
        <v>0</v>
      </c>
      <c r="AC51" s="55">
        <f t="shared" si="77"/>
        <v>0</v>
      </c>
      <c r="AD51" s="55">
        <f t="shared" si="77"/>
        <v>492518</v>
      </c>
      <c r="AE51" s="55">
        <f t="shared" si="77"/>
        <v>4662.4786215957</v>
      </c>
      <c r="AF51" s="121">
        <f t="shared" si="77"/>
        <v>0</v>
      </c>
      <c r="AG51" s="121">
        <f t="shared" si="77"/>
        <v>72</v>
      </c>
      <c r="AH51" s="121">
        <f t="shared" si="77"/>
        <v>1241.09543568465</v>
      </c>
      <c r="AI51" s="55">
        <f t="shared" si="77"/>
        <v>0</v>
      </c>
      <c r="AJ51" s="120"/>
      <c r="AK51" s="55">
        <f t="shared" ref="AK51:AO51" si="78">SUM(AK52:AK60)</f>
        <v>549.274873164212</v>
      </c>
      <c r="AL51" s="55">
        <f t="shared" si="78"/>
        <v>829.14</v>
      </c>
      <c r="AM51" s="55">
        <f t="shared" si="78"/>
        <v>550.803332860027</v>
      </c>
      <c r="AN51" s="121">
        <f t="shared" si="78"/>
        <v>17057</v>
      </c>
      <c r="AO51" s="121">
        <f t="shared" si="78"/>
        <v>-17198</v>
      </c>
      <c r="AP51" s="125">
        <f t="shared" si="0"/>
        <v>-0.502058093708948</v>
      </c>
      <c r="AQ51" s="120">
        <f>SUM(AQ52:AQ60)</f>
        <v>-1808.91501110573</v>
      </c>
      <c r="AR51" s="198">
        <f t="shared" si="1"/>
        <v>-0.0958827075199313</v>
      </c>
      <c r="AS51" s="5"/>
      <c r="AT51" s="5"/>
      <c r="AU51" s="5"/>
      <c r="AV51" s="5"/>
      <c r="AW51" s="5"/>
      <c r="AX51" s="5"/>
      <c r="AY51" s="5"/>
      <c r="AZ51" s="5" t="s">
        <v>113</v>
      </c>
      <c r="BA51" s="5">
        <v>1034</v>
      </c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</row>
    <row r="52" ht="17" customHeight="1" spans="1:53">
      <c r="A52" s="31">
        <v>26</v>
      </c>
      <c r="B52" s="51" t="s">
        <v>101</v>
      </c>
      <c r="C52" s="31" t="s">
        <v>78</v>
      </c>
      <c r="D52" s="31"/>
      <c r="E52" s="31"/>
      <c r="F52" s="31"/>
      <c r="G52" s="189">
        <f t="shared" ref="G52:G60" si="79">VLOOKUP(B:B,$AZ:$BA,2,0)</f>
        <v>553</v>
      </c>
      <c r="H52" s="189">
        <f t="shared" ref="H52:H60" si="80">G52*210000/381298.76</f>
        <v>304.564326409034</v>
      </c>
      <c r="I52" s="189">
        <v>11313</v>
      </c>
      <c r="J52" s="44">
        <f t="shared" si="67"/>
        <v>2262.6</v>
      </c>
      <c r="K52" s="44">
        <f t="shared" si="68"/>
        <v>2262.6</v>
      </c>
      <c r="L52" s="44">
        <f t="shared" si="69"/>
        <v>0</v>
      </c>
      <c r="M52" s="44">
        <f t="shared" si="70"/>
        <v>0</v>
      </c>
      <c r="N52" s="44">
        <f t="shared" si="71"/>
        <v>0</v>
      </c>
      <c r="O52" s="44">
        <f t="shared" si="72"/>
        <v>0</v>
      </c>
      <c r="P52" s="44">
        <v>1076</v>
      </c>
      <c r="Q52" s="44">
        <v>618</v>
      </c>
      <c r="R52" s="44">
        <f t="shared" ref="R52:R60" si="81">S52+T52+U52+V52</f>
        <v>247.2</v>
      </c>
      <c r="S52" s="44">
        <f t="shared" ref="S52:S54" si="82">Q52*0.4</f>
        <v>247.2</v>
      </c>
      <c r="T52" s="44"/>
      <c r="U52" s="44"/>
      <c r="V52" s="44"/>
      <c r="W52" s="44">
        <f t="shared" ref="W52:W60" si="83">(J52/$J$9*0.2+P52/$P$9*0.05+R52/$R$9*0.05)*299423</f>
        <v>51.6646354292663</v>
      </c>
      <c r="X52" s="76">
        <v>19728</v>
      </c>
      <c r="Y52" s="115">
        <f t="shared" ref="Y52:Y60" si="84">IF(X52&lt;12842,(12842-X52)/(12842-$X$175),0)</f>
        <v>0</v>
      </c>
      <c r="Z52" s="44">
        <f t="shared" ref="Z52:Z60" si="85">(Y52/$Y$9*0.15)*299423</f>
        <v>0</v>
      </c>
      <c r="AA52" s="44"/>
      <c r="AB52" s="44"/>
      <c r="AC52" s="44"/>
      <c r="AD52" s="76"/>
      <c r="AE52" s="44">
        <f t="shared" ref="AE52:AE60" si="86">AD52/$AD$9*71500</f>
        <v>0</v>
      </c>
      <c r="AF52" s="44"/>
      <c r="AG52" s="44">
        <v>10</v>
      </c>
      <c r="AH52" s="44">
        <f>AG52/$AG$13*9347</f>
        <v>387.842323651452</v>
      </c>
      <c r="AI52" s="44"/>
      <c r="AJ52" s="115">
        <f>VLOOKUP(B:B,'表6资金使用成效（12月30日）'!B:L,11,0)</f>
        <v>0.967075696805813</v>
      </c>
      <c r="AK52" s="44">
        <f t="shared" ref="AK52:AK60" si="87">AJ52/$AJ$9*0.025*299423</f>
        <v>62.3006076400871</v>
      </c>
      <c r="AL52" s="76">
        <v>94.4</v>
      </c>
      <c r="AM52" s="44">
        <f t="shared" ref="AM52:AM60" si="88">(AL52/$AL$9)*0.025*299423</f>
        <v>62.7105610897877</v>
      </c>
      <c r="AN52" s="67">
        <f t="shared" ref="AN52:AN60" si="89">ROUND(AM52+AK52+AE52+AC52+Z52+W52+AI52+AF52,0)</f>
        <v>177</v>
      </c>
      <c r="AO52" s="67">
        <f t="shared" si="73"/>
        <v>-376</v>
      </c>
      <c r="AP52" s="125">
        <f t="shared" si="0"/>
        <v>-0.679927667269439</v>
      </c>
      <c r="AQ52" s="44">
        <f t="shared" si="74"/>
        <v>-127.564326409034</v>
      </c>
      <c r="AR52" s="198">
        <f t="shared" si="1"/>
        <v>-0.418841982950142</v>
      </c>
      <c r="AZ52" s="5" t="s">
        <v>114</v>
      </c>
      <c r="BA52" s="5">
        <v>1186</v>
      </c>
    </row>
    <row r="53" ht="17" customHeight="1" spans="1:53">
      <c r="A53" s="31">
        <v>27</v>
      </c>
      <c r="B53" s="51" t="s">
        <v>108</v>
      </c>
      <c r="C53" s="31" t="s">
        <v>78</v>
      </c>
      <c r="D53" s="31"/>
      <c r="E53" s="31"/>
      <c r="F53" s="31"/>
      <c r="G53" s="189">
        <f t="shared" si="79"/>
        <v>968</v>
      </c>
      <c r="H53" s="189">
        <f t="shared" si="80"/>
        <v>533.125258524313</v>
      </c>
      <c r="I53" s="189">
        <v>17582</v>
      </c>
      <c r="J53" s="44">
        <f t="shared" si="67"/>
        <v>3516.4</v>
      </c>
      <c r="K53" s="44">
        <f t="shared" si="68"/>
        <v>3516.4</v>
      </c>
      <c r="L53" s="44">
        <f t="shared" si="69"/>
        <v>0</v>
      </c>
      <c r="M53" s="44">
        <f t="shared" si="70"/>
        <v>0</v>
      </c>
      <c r="N53" s="44">
        <f t="shared" si="71"/>
        <v>0</v>
      </c>
      <c r="O53" s="44">
        <f t="shared" si="72"/>
        <v>0</v>
      </c>
      <c r="P53" s="44">
        <v>1521</v>
      </c>
      <c r="Q53" s="44">
        <v>747</v>
      </c>
      <c r="R53" s="44">
        <f t="shared" si="81"/>
        <v>298.8</v>
      </c>
      <c r="S53" s="44">
        <f t="shared" si="82"/>
        <v>298.8</v>
      </c>
      <c r="T53" s="44"/>
      <c r="U53" s="44"/>
      <c r="V53" s="44"/>
      <c r="W53" s="44">
        <f t="shared" si="83"/>
        <v>76.2020911802518</v>
      </c>
      <c r="X53" s="76">
        <v>16673</v>
      </c>
      <c r="Y53" s="115">
        <f t="shared" si="84"/>
        <v>0</v>
      </c>
      <c r="Z53" s="44">
        <f t="shared" si="85"/>
        <v>0</v>
      </c>
      <c r="AA53" s="44"/>
      <c r="AB53" s="44"/>
      <c r="AC53" s="44"/>
      <c r="AD53" s="76"/>
      <c r="AE53" s="44">
        <f t="shared" si="86"/>
        <v>0</v>
      </c>
      <c r="AF53" s="44"/>
      <c r="AG53" s="44">
        <v>7</v>
      </c>
      <c r="AH53" s="44">
        <f>AG53/$AG$13*9347</f>
        <v>271.489626556017</v>
      </c>
      <c r="AI53" s="44"/>
      <c r="AJ53" s="115">
        <f>VLOOKUP(B:B,'表6资金使用成效（12月30日）'!B:L,11,0)</f>
        <v>0.984518632685639</v>
      </c>
      <c r="AK53" s="44">
        <f t="shared" si="87"/>
        <v>63.4243102705322</v>
      </c>
      <c r="AL53" s="76">
        <v>87.35</v>
      </c>
      <c r="AM53" s="44">
        <f t="shared" si="88"/>
        <v>58.0271982117898</v>
      </c>
      <c r="AN53" s="67">
        <f t="shared" si="89"/>
        <v>198</v>
      </c>
      <c r="AO53" s="67">
        <f t="shared" si="73"/>
        <v>-770</v>
      </c>
      <c r="AP53" s="125">
        <f t="shared" si="0"/>
        <v>-0.795454545454545</v>
      </c>
      <c r="AQ53" s="44">
        <f t="shared" si="74"/>
        <v>-335.125258524313</v>
      </c>
      <c r="AR53" s="198">
        <f t="shared" si="1"/>
        <v>-0.628605103896104</v>
      </c>
      <c r="AZ53" s="5" t="s">
        <v>115</v>
      </c>
      <c r="BA53" s="5">
        <v>466</v>
      </c>
    </row>
    <row r="54" ht="17" customHeight="1" spans="1:53">
      <c r="A54" s="31">
        <v>28</v>
      </c>
      <c r="B54" s="51" t="s">
        <v>102</v>
      </c>
      <c r="C54" s="31" t="s">
        <v>78</v>
      </c>
      <c r="D54" s="31"/>
      <c r="E54" s="31"/>
      <c r="F54" s="31"/>
      <c r="G54" s="189">
        <f t="shared" si="79"/>
        <v>2441</v>
      </c>
      <c r="H54" s="189">
        <f t="shared" si="80"/>
        <v>1344.37888022505</v>
      </c>
      <c r="I54" s="189">
        <v>15759</v>
      </c>
      <c r="J54" s="44">
        <f t="shared" si="67"/>
        <v>3151.8</v>
      </c>
      <c r="K54" s="44">
        <f t="shared" si="68"/>
        <v>3151.8</v>
      </c>
      <c r="L54" s="44">
        <f t="shared" si="69"/>
        <v>0</v>
      </c>
      <c r="M54" s="44">
        <f t="shared" si="70"/>
        <v>0</v>
      </c>
      <c r="N54" s="44">
        <f t="shared" si="71"/>
        <v>0</v>
      </c>
      <c r="O54" s="44">
        <f t="shared" si="72"/>
        <v>0</v>
      </c>
      <c r="P54" s="44">
        <v>981</v>
      </c>
      <c r="Q54" s="44">
        <v>784</v>
      </c>
      <c r="R54" s="44">
        <f t="shared" si="81"/>
        <v>313.6</v>
      </c>
      <c r="S54" s="44">
        <f t="shared" si="82"/>
        <v>313.6</v>
      </c>
      <c r="T54" s="44"/>
      <c r="U54" s="44"/>
      <c r="V54" s="44"/>
      <c r="W54" s="44">
        <f t="shared" si="83"/>
        <v>62.1661990055494</v>
      </c>
      <c r="X54" s="76">
        <v>13512</v>
      </c>
      <c r="Y54" s="115">
        <f t="shared" si="84"/>
        <v>0</v>
      </c>
      <c r="Z54" s="44">
        <f t="shared" si="85"/>
        <v>0</v>
      </c>
      <c r="AA54" s="44"/>
      <c r="AB54" s="44"/>
      <c r="AC54" s="44"/>
      <c r="AD54" s="76"/>
      <c r="AE54" s="44">
        <f t="shared" si="86"/>
        <v>0</v>
      </c>
      <c r="AF54" s="44"/>
      <c r="AG54" s="44">
        <v>7</v>
      </c>
      <c r="AH54" s="44">
        <f>AG54/$AG$13*9347</f>
        <v>271.489626556017</v>
      </c>
      <c r="AI54" s="44"/>
      <c r="AJ54" s="115">
        <f>VLOOKUP(B:B,'表6资金使用成效（12月30日）'!B:L,11,0)</f>
        <v>0.987411760561547</v>
      </c>
      <c r="AK54" s="44">
        <f t="shared" si="87"/>
        <v>63.6106903287271</v>
      </c>
      <c r="AL54" s="76">
        <v>95.47</v>
      </c>
      <c r="AM54" s="44">
        <f t="shared" si="88"/>
        <v>63.4213693563774</v>
      </c>
      <c r="AN54" s="67">
        <f t="shared" si="89"/>
        <v>189</v>
      </c>
      <c r="AO54" s="67">
        <f t="shared" si="73"/>
        <v>-2252</v>
      </c>
      <c r="AP54" s="125">
        <f t="shared" si="0"/>
        <v>-0.922572716099959</v>
      </c>
      <c r="AQ54" s="44">
        <f t="shared" si="74"/>
        <v>-1155.37888022505</v>
      </c>
      <c r="AR54" s="198">
        <f t="shared" si="1"/>
        <v>-0.859414631708316</v>
      </c>
      <c r="AZ54" s="5" t="s">
        <v>116</v>
      </c>
      <c r="BA54" s="5">
        <v>1287</v>
      </c>
    </row>
    <row r="55" ht="17" customHeight="1" spans="1:53">
      <c r="A55" s="31">
        <v>29</v>
      </c>
      <c r="B55" s="51" t="s">
        <v>109</v>
      </c>
      <c r="C55" s="31" t="s">
        <v>93</v>
      </c>
      <c r="D55" s="31">
        <v>2019</v>
      </c>
      <c r="E55" s="31" t="s">
        <v>94</v>
      </c>
      <c r="F55" s="31"/>
      <c r="G55" s="189">
        <f t="shared" si="79"/>
        <v>4928</v>
      </c>
      <c r="H55" s="189">
        <f t="shared" si="80"/>
        <v>2714.09222521468</v>
      </c>
      <c r="I55" s="189">
        <v>150030</v>
      </c>
      <c r="J55" s="44">
        <f t="shared" si="67"/>
        <v>120024</v>
      </c>
      <c r="K55" s="44">
        <f t="shared" si="68"/>
        <v>0</v>
      </c>
      <c r="L55" s="44">
        <f t="shared" si="69"/>
        <v>0</v>
      </c>
      <c r="M55" s="44">
        <f t="shared" si="70"/>
        <v>0</v>
      </c>
      <c r="N55" s="44">
        <f t="shared" si="71"/>
        <v>120024</v>
      </c>
      <c r="O55" s="44">
        <f t="shared" si="72"/>
        <v>0</v>
      </c>
      <c r="P55" s="44">
        <v>19923</v>
      </c>
      <c r="Q55" s="44">
        <v>51303</v>
      </c>
      <c r="R55" s="44">
        <f t="shared" si="81"/>
        <v>51303</v>
      </c>
      <c r="S55" s="44"/>
      <c r="T55" s="44"/>
      <c r="U55" s="44"/>
      <c r="V55" s="44">
        <f>Q55*1</f>
        <v>51303</v>
      </c>
      <c r="W55" s="44">
        <f t="shared" si="83"/>
        <v>2687.12299100686</v>
      </c>
      <c r="X55" s="76">
        <v>14442</v>
      </c>
      <c r="Y55" s="115">
        <f t="shared" si="84"/>
        <v>0</v>
      </c>
      <c r="Z55" s="44">
        <f t="shared" si="85"/>
        <v>0</v>
      </c>
      <c r="AA55" s="44"/>
      <c r="AB55" s="44"/>
      <c r="AC55" s="44"/>
      <c r="AD55" s="76">
        <f t="shared" ref="AD55:AD60" si="90">J55</f>
        <v>120024</v>
      </c>
      <c r="AE55" s="44"/>
      <c r="AF55" s="44"/>
      <c r="AG55" s="44">
        <v>13</v>
      </c>
      <c r="AH55" s="44"/>
      <c r="AI55" s="44"/>
      <c r="AJ55" s="115">
        <f>VLOOKUP(B:B,'表6资金使用成效（12月30日）'!B:L,11,0)</f>
        <v>0.935981622035933</v>
      </c>
      <c r="AK55" s="44">
        <f t="shared" si="87"/>
        <v>60.2974761804008</v>
      </c>
      <c r="AL55" s="76">
        <v>91.09</v>
      </c>
      <c r="AM55" s="44">
        <f t="shared" si="88"/>
        <v>60.5117056108979</v>
      </c>
      <c r="AN55" s="67">
        <f t="shared" si="89"/>
        <v>2808</v>
      </c>
      <c r="AO55" s="67">
        <f t="shared" si="73"/>
        <v>-2120</v>
      </c>
      <c r="AP55" s="125">
        <f t="shared" si="0"/>
        <v>-0.430194805194805</v>
      </c>
      <c r="AQ55" s="44">
        <f t="shared" si="74"/>
        <v>93.9077747853198</v>
      </c>
      <c r="AR55" s="198">
        <f t="shared" si="1"/>
        <v>0.034600067717998</v>
      </c>
      <c r="AZ55" s="5" t="s">
        <v>117</v>
      </c>
      <c r="BA55" s="5">
        <v>2239</v>
      </c>
    </row>
    <row r="56" ht="17" customHeight="1" spans="1:53">
      <c r="A56" s="31">
        <v>30</v>
      </c>
      <c r="B56" s="51" t="s">
        <v>106</v>
      </c>
      <c r="C56" s="31" t="s">
        <v>90</v>
      </c>
      <c r="D56" s="31">
        <v>2018</v>
      </c>
      <c r="E56" s="31" t="s">
        <v>91</v>
      </c>
      <c r="F56" s="31"/>
      <c r="G56" s="189">
        <f t="shared" si="79"/>
        <v>1347</v>
      </c>
      <c r="H56" s="189">
        <f t="shared" si="80"/>
        <v>741.859218215134</v>
      </c>
      <c r="I56" s="189">
        <v>96295</v>
      </c>
      <c r="J56" s="44">
        <f t="shared" si="67"/>
        <v>57777</v>
      </c>
      <c r="K56" s="44">
        <f t="shared" si="68"/>
        <v>0</v>
      </c>
      <c r="L56" s="44">
        <f t="shared" si="69"/>
        <v>0</v>
      </c>
      <c r="M56" s="44">
        <f t="shared" si="70"/>
        <v>57777</v>
      </c>
      <c r="N56" s="44">
        <f t="shared" si="71"/>
        <v>0</v>
      </c>
      <c r="O56" s="44">
        <f t="shared" si="72"/>
        <v>0</v>
      </c>
      <c r="P56" s="44">
        <v>9703</v>
      </c>
      <c r="Q56" s="44">
        <v>5894</v>
      </c>
      <c r="R56" s="44">
        <f t="shared" si="81"/>
        <v>4715.2</v>
      </c>
      <c r="S56" s="44"/>
      <c r="T56" s="44"/>
      <c r="U56" s="44">
        <f t="shared" ref="U56:U59" si="91">Q56*0.8</f>
        <v>4715.2</v>
      </c>
      <c r="V56" s="44"/>
      <c r="W56" s="44">
        <f t="shared" si="83"/>
        <v>974.146031539832</v>
      </c>
      <c r="X56" s="76">
        <v>14804</v>
      </c>
      <c r="Y56" s="115">
        <f t="shared" si="84"/>
        <v>0</v>
      </c>
      <c r="Z56" s="44">
        <f t="shared" si="85"/>
        <v>0</v>
      </c>
      <c r="AA56" s="44"/>
      <c r="AB56" s="44"/>
      <c r="AC56" s="44"/>
      <c r="AD56" s="76">
        <f t="shared" si="90"/>
        <v>57777</v>
      </c>
      <c r="AE56" s="44"/>
      <c r="AF56" s="44"/>
      <c r="AG56" s="44">
        <v>7</v>
      </c>
      <c r="AH56" s="44"/>
      <c r="AI56" s="44"/>
      <c r="AJ56" s="115">
        <f>VLOOKUP(B:B,'表6资金使用成效（12月30日）'!B:L,11,0)</f>
        <v>0.920273145870451</v>
      </c>
      <c r="AK56" s="44">
        <f t="shared" si="87"/>
        <v>59.2855102986794</v>
      </c>
      <c r="AL56" s="76">
        <v>91.92</v>
      </c>
      <c r="AM56" s="44">
        <f t="shared" si="88"/>
        <v>61.0630802475983</v>
      </c>
      <c r="AN56" s="67">
        <f t="shared" si="89"/>
        <v>1094</v>
      </c>
      <c r="AO56" s="67">
        <f t="shared" si="73"/>
        <v>-253</v>
      </c>
      <c r="AP56" s="125">
        <f t="shared" si="0"/>
        <v>-0.187824795842613</v>
      </c>
      <c r="AQ56" s="44">
        <f t="shared" si="74"/>
        <v>352.140781784866</v>
      </c>
      <c r="AR56" s="198">
        <f t="shared" si="1"/>
        <v>0.474673324990278</v>
      </c>
      <c r="AZ56" s="5" t="s">
        <v>118</v>
      </c>
      <c r="BA56" s="5">
        <v>2130</v>
      </c>
    </row>
    <row r="57" ht="17" customHeight="1" spans="1:53">
      <c r="A57" s="31">
        <v>31</v>
      </c>
      <c r="B57" s="51" t="s">
        <v>105</v>
      </c>
      <c r="C57" s="31" t="s">
        <v>90</v>
      </c>
      <c r="D57" s="31">
        <v>2017</v>
      </c>
      <c r="E57" s="31"/>
      <c r="F57" s="31"/>
      <c r="G57" s="189">
        <f t="shared" si="79"/>
        <v>289</v>
      </c>
      <c r="H57" s="189">
        <f t="shared" si="80"/>
        <v>159.166528629676</v>
      </c>
      <c r="I57" s="189">
        <v>36640</v>
      </c>
      <c r="J57" s="44">
        <f t="shared" si="67"/>
        <v>14656</v>
      </c>
      <c r="K57" s="44">
        <f t="shared" si="68"/>
        <v>0</v>
      </c>
      <c r="L57" s="44">
        <f t="shared" si="69"/>
        <v>14656</v>
      </c>
      <c r="M57" s="44">
        <f t="shared" si="70"/>
        <v>0</v>
      </c>
      <c r="N57" s="44">
        <f t="shared" si="71"/>
        <v>0</v>
      </c>
      <c r="O57" s="44">
        <f t="shared" si="72"/>
        <v>0</v>
      </c>
      <c r="P57" s="44">
        <v>5824</v>
      </c>
      <c r="Q57" s="44">
        <v>4424</v>
      </c>
      <c r="R57" s="44">
        <f t="shared" si="81"/>
        <v>3539.2</v>
      </c>
      <c r="S57" s="44"/>
      <c r="T57" s="44"/>
      <c r="U57" s="44">
        <f t="shared" si="91"/>
        <v>3539.2</v>
      </c>
      <c r="V57" s="44"/>
      <c r="W57" s="44">
        <f t="shared" si="83"/>
        <v>345.236383573667</v>
      </c>
      <c r="X57" s="76">
        <v>17502</v>
      </c>
      <c r="Y57" s="115">
        <f t="shared" si="84"/>
        <v>0</v>
      </c>
      <c r="Z57" s="44">
        <f t="shared" si="85"/>
        <v>0</v>
      </c>
      <c r="AA57" s="44"/>
      <c r="AB57" s="44"/>
      <c r="AC57" s="44"/>
      <c r="AD57" s="76"/>
      <c r="AE57" s="44">
        <f t="shared" si="86"/>
        <v>0</v>
      </c>
      <c r="AF57" s="44"/>
      <c r="AG57" s="44">
        <v>8</v>
      </c>
      <c r="AH57" s="44"/>
      <c r="AI57" s="44"/>
      <c r="AJ57" s="115">
        <f>VLOOKUP(B:B,'表6资金使用成效（12月30日）'!B:L,11,0)</f>
        <v>0.923469048908672</v>
      </c>
      <c r="AK57" s="44">
        <f t="shared" si="87"/>
        <v>59.4913956310248</v>
      </c>
      <c r="AL57" s="76">
        <v>90.42</v>
      </c>
      <c r="AM57" s="44">
        <f t="shared" si="88"/>
        <v>60.0666200607903</v>
      </c>
      <c r="AN57" s="67">
        <f t="shared" si="89"/>
        <v>465</v>
      </c>
      <c r="AO57" s="67">
        <f t="shared" si="73"/>
        <v>176</v>
      </c>
      <c r="AP57" s="125">
        <f t="shared" si="0"/>
        <v>0.608996539792388</v>
      </c>
      <c r="AQ57" s="44">
        <f t="shared" si="74"/>
        <v>305.833471370324</v>
      </c>
      <c r="AR57" s="198">
        <f t="shared" si="1"/>
        <v>1.92146850222442</v>
      </c>
      <c r="AZ57" s="5" t="s">
        <v>119</v>
      </c>
      <c r="BA57" s="5">
        <v>1652</v>
      </c>
    </row>
    <row r="58" ht="17" customHeight="1" spans="1:53">
      <c r="A58" s="31">
        <v>32</v>
      </c>
      <c r="B58" s="51" t="s">
        <v>104</v>
      </c>
      <c r="C58" s="31" t="s">
        <v>90</v>
      </c>
      <c r="D58" s="31">
        <v>2018</v>
      </c>
      <c r="E58" s="31"/>
      <c r="F58" s="31"/>
      <c r="G58" s="189">
        <f t="shared" si="79"/>
        <v>2632</v>
      </c>
      <c r="H58" s="189">
        <f t="shared" si="80"/>
        <v>1449.57198392148</v>
      </c>
      <c r="I58" s="189">
        <v>64465</v>
      </c>
      <c r="J58" s="44">
        <f t="shared" si="67"/>
        <v>38679</v>
      </c>
      <c r="K58" s="44">
        <f t="shared" si="68"/>
        <v>0</v>
      </c>
      <c r="L58" s="44">
        <f t="shared" si="69"/>
        <v>0</v>
      </c>
      <c r="M58" s="44">
        <f t="shared" si="70"/>
        <v>38679</v>
      </c>
      <c r="N58" s="44">
        <f t="shared" si="71"/>
        <v>0</v>
      </c>
      <c r="O58" s="44">
        <f t="shared" si="72"/>
        <v>0</v>
      </c>
      <c r="P58" s="44">
        <v>5660</v>
      </c>
      <c r="Q58" s="44">
        <v>5692</v>
      </c>
      <c r="R58" s="44">
        <f t="shared" si="81"/>
        <v>4553.6</v>
      </c>
      <c r="S58" s="44"/>
      <c r="T58" s="44"/>
      <c r="U58" s="44">
        <f t="shared" si="91"/>
        <v>4553.6</v>
      </c>
      <c r="V58" s="44"/>
      <c r="W58" s="44">
        <f t="shared" si="83"/>
        <v>659.595571196127</v>
      </c>
      <c r="X58" s="76">
        <v>14066</v>
      </c>
      <c r="Y58" s="115">
        <f t="shared" si="84"/>
        <v>0</v>
      </c>
      <c r="Z58" s="44">
        <f t="shared" si="85"/>
        <v>0</v>
      </c>
      <c r="AA58" s="44"/>
      <c r="AB58" s="44"/>
      <c r="AC58" s="44"/>
      <c r="AD58" s="76"/>
      <c r="AE58" s="44">
        <f t="shared" si="86"/>
        <v>0</v>
      </c>
      <c r="AF58" s="44"/>
      <c r="AG58" s="44">
        <v>6</v>
      </c>
      <c r="AH58" s="44"/>
      <c r="AI58" s="44"/>
      <c r="AJ58" s="115">
        <f>VLOOKUP(B:B,'表6资金使用成效（12月30日）'!B:L,11,0)</f>
        <v>0.922911486460878</v>
      </c>
      <c r="AK58" s="44">
        <f t="shared" si="87"/>
        <v>59.4554765407099</v>
      </c>
      <c r="AL58" s="76">
        <v>94.03</v>
      </c>
      <c r="AM58" s="44">
        <f t="shared" si="88"/>
        <v>62.4647675770417</v>
      </c>
      <c r="AN58" s="67">
        <f t="shared" si="89"/>
        <v>782</v>
      </c>
      <c r="AO58" s="67">
        <f t="shared" si="73"/>
        <v>-1850</v>
      </c>
      <c r="AP58" s="125">
        <f t="shared" si="0"/>
        <v>-0.702887537993921</v>
      </c>
      <c r="AQ58" s="44">
        <f t="shared" si="74"/>
        <v>-667.57198392148</v>
      </c>
      <c r="AR58" s="198">
        <f t="shared" si="1"/>
        <v>-0.460530412650167</v>
      </c>
      <c r="AZ58" s="5" t="s">
        <v>120</v>
      </c>
      <c r="BA58" s="5">
        <v>2597</v>
      </c>
    </row>
    <row r="59" ht="17" customHeight="1" spans="1:53">
      <c r="A59" s="31">
        <v>33</v>
      </c>
      <c r="B59" s="51" t="s">
        <v>103</v>
      </c>
      <c r="C59" s="31" t="s">
        <v>78</v>
      </c>
      <c r="D59" s="31"/>
      <c r="E59" s="31"/>
      <c r="F59" s="31"/>
      <c r="G59" s="189">
        <f t="shared" si="79"/>
        <v>1192</v>
      </c>
      <c r="H59" s="189">
        <f t="shared" si="80"/>
        <v>656.493086943162</v>
      </c>
      <c r="I59" s="189">
        <v>33845</v>
      </c>
      <c r="J59" s="44">
        <f t="shared" si="67"/>
        <v>6769</v>
      </c>
      <c r="K59" s="44">
        <f t="shared" si="68"/>
        <v>6769</v>
      </c>
      <c r="L59" s="44">
        <f t="shared" si="69"/>
        <v>0</v>
      </c>
      <c r="M59" s="44">
        <f t="shared" si="70"/>
        <v>0</v>
      </c>
      <c r="N59" s="44">
        <f t="shared" si="71"/>
        <v>0</v>
      </c>
      <c r="O59" s="44">
        <f t="shared" si="72"/>
        <v>0</v>
      </c>
      <c r="P59" s="44">
        <v>7128</v>
      </c>
      <c r="Q59" s="44">
        <v>3734</v>
      </c>
      <c r="R59" s="44">
        <f t="shared" si="81"/>
        <v>2987.2</v>
      </c>
      <c r="S59" s="44"/>
      <c r="T59" s="44"/>
      <c r="U59" s="44">
        <f t="shared" si="91"/>
        <v>2987.2</v>
      </c>
      <c r="V59" s="44"/>
      <c r="W59" s="44">
        <f t="shared" si="83"/>
        <v>260.976873895799</v>
      </c>
      <c r="X59" s="76">
        <v>17518</v>
      </c>
      <c r="Y59" s="115">
        <f t="shared" si="84"/>
        <v>0</v>
      </c>
      <c r="Z59" s="44">
        <f t="shared" si="85"/>
        <v>0</v>
      </c>
      <c r="AA59" s="44"/>
      <c r="AB59" s="44"/>
      <c r="AC59" s="44"/>
      <c r="AD59" s="76"/>
      <c r="AE59" s="44">
        <f t="shared" si="86"/>
        <v>0</v>
      </c>
      <c r="AF59" s="44"/>
      <c r="AG59" s="44">
        <v>8</v>
      </c>
      <c r="AH59" s="44">
        <f>AG59/$AG$13*9347</f>
        <v>310.273858921162</v>
      </c>
      <c r="AI59" s="44"/>
      <c r="AJ59" s="115">
        <f>VLOOKUP(B:B,'表6资金使用成效（12月30日）'!B:L,11,0)</f>
        <v>0.928967649051491</v>
      </c>
      <c r="AK59" s="44">
        <f t="shared" si="87"/>
        <v>59.8456244997669</v>
      </c>
      <c r="AL59" s="76">
        <v>90.83</v>
      </c>
      <c r="AM59" s="44">
        <f t="shared" si="88"/>
        <v>60.3389858451845</v>
      </c>
      <c r="AN59" s="67">
        <f t="shared" si="89"/>
        <v>381</v>
      </c>
      <c r="AO59" s="67">
        <f t="shared" si="73"/>
        <v>-811</v>
      </c>
      <c r="AP59" s="125">
        <f t="shared" si="0"/>
        <v>-0.680369127516778</v>
      </c>
      <c r="AQ59" s="44">
        <f t="shared" si="74"/>
        <v>-275.493086943162</v>
      </c>
      <c r="AR59" s="198">
        <f t="shared" si="1"/>
        <v>-0.419643546021093</v>
      </c>
      <c r="AZ59" s="5" t="s">
        <v>121</v>
      </c>
      <c r="BA59" s="5">
        <v>45384</v>
      </c>
    </row>
    <row r="60" s="5" customFormat="1" ht="17" customHeight="1" spans="1:53">
      <c r="A60" s="31">
        <v>34</v>
      </c>
      <c r="B60" s="51" t="s">
        <v>107</v>
      </c>
      <c r="C60" s="31" t="s">
        <v>93</v>
      </c>
      <c r="D60" s="31">
        <v>2020</v>
      </c>
      <c r="E60" s="31" t="s">
        <v>94</v>
      </c>
      <c r="F60" s="31"/>
      <c r="G60" s="189">
        <f t="shared" si="79"/>
        <v>19905</v>
      </c>
      <c r="H60" s="189">
        <f t="shared" si="80"/>
        <v>10962.6635030232</v>
      </c>
      <c r="I60" s="189">
        <v>314717</v>
      </c>
      <c r="J60" s="44">
        <f t="shared" si="67"/>
        <v>314717</v>
      </c>
      <c r="K60" s="44">
        <f t="shared" si="68"/>
        <v>0</v>
      </c>
      <c r="L60" s="44">
        <f t="shared" si="69"/>
        <v>0</v>
      </c>
      <c r="M60" s="44">
        <f t="shared" si="70"/>
        <v>0</v>
      </c>
      <c r="N60" s="44">
        <f t="shared" si="71"/>
        <v>0</v>
      </c>
      <c r="O60" s="44">
        <f t="shared" si="72"/>
        <v>314717</v>
      </c>
      <c r="P60" s="44">
        <v>35166</v>
      </c>
      <c r="Q60" s="44">
        <v>83627</v>
      </c>
      <c r="R60" s="44">
        <f t="shared" si="81"/>
        <v>83627</v>
      </c>
      <c r="S60" s="44"/>
      <c r="T60" s="44"/>
      <c r="U60" s="44"/>
      <c r="V60" s="44">
        <f>Q60*1</f>
        <v>83627</v>
      </c>
      <c r="W60" s="44">
        <f t="shared" si="83"/>
        <v>5920.39232829156</v>
      </c>
      <c r="X60" s="76">
        <v>12298</v>
      </c>
      <c r="Y60" s="115">
        <f t="shared" si="84"/>
        <v>0.102932828760643</v>
      </c>
      <c r="Z60" s="44">
        <f t="shared" si="85"/>
        <v>256.029726501099</v>
      </c>
      <c r="AA60" s="44"/>
      <c r="AB60" s="44"/>
      <c r="AC60" s="44"/>
      <c r="AD60" s="76">
        <f t="shared" si="90"/>
        <v>314717</v>
      </c>
      <c r="AE60" s="44">
        <f>H60-W60-Z60-AC60-AK60-AM60</f>
        <v>4662.4786215957</v>
      </c>
      <c r="AF60" s="44"/>
      <c r="AG60" s="44">
        <v>6</v>
      </c>
      <c r="AH60" s="44"/>
      <c r="AI60" s="44"/>
      <c r="AJ60" s="115">
        <f>VLOOKUP(B:B,'表6资金使用成效（12月30日）'!B:L,11,0)</f>
        <v>0.955638145639168</v>
      </c>
      <c r="AK60" s="44">
        <f t="shared" si="87"/>
        <v>61.5637817742835</v>
      </c>
      <c r="AL60" s="76">
        <v>93.63</v>
      </c>
      <c r="AM60" s="44">
        <f t="shared" si="88"/>
        <v>62.1990448605595</v>
      </c>
      <c r="AN60" s="67">
        <f t="shared" si="89"/>
        <v>10963</v>
      </c>
      <c r="AO60" s="67">
        <f t="shared" si="73"/>
        <v>-8942</v>
      </c>
      <c r="AP60" s="126">
        <f t="shared" si="0"/>
        <v>-0.449233860838985</v>
      </c>
      <c r="AQ60" s="44">
        <f t="shared" si="74"/>
        <v>0.336496976800845</v>
      </c>
      <c r="AR60" s="198">
        <f t="shared" si="1"/>
        <v>3.06948194394591e-5</v>
      </c>
      <c r="AZ60" s="5" t="s">
        <v>122</v>
      </c>
      <c r="BA60" s="5">
        <v>0</v>
      </c>
    </row>
    <row r="61" s="6" customFormat="1" ht="17" customHeight="1" spans="1:75">
      <c r="A61" s="39"/>
      <c r="B61" s="40" t="s">
        <v>110</v>
      </c>
      <c r="C61" s="41">
        <v>1</v>
      </c>
      <c r="D61" s="41"/>
      <c r="E61" s="41"/>
      <c r="F61" s="41"/>
      <c r="G61" s="119">
        <f>G62+G63</f>
        <v>13391</v>
      </c>
      <c r="H61" s="119">
        <f>H62+H63</f>
        <v>7375.08299266433</v>
      </c>
      <c r="I61" s="119">
        <f t="shared" ref="I61:O61" si="92">I62+I63</f>
        <v>85777</v>
      </c>
      <c r="J61" s="43">
        <f t="shared" si="92"/>
        <v>17155.4</v>
      </c>
      <c r="K61" s="43">
        <f t="shared" si="92"/>
        <v>17155.4</v>
      </c>
      <c r="L61" s="43">
        <f t="shared" si="92"/>
        <v>0</v>
      </c>
      <c r="M61" s="43">
        <f t="shared" si="92"/>
        <v>0</v>
      </c>
      <c r="N61" s="43">
        <f t="shared" si="92"/>
        <v>0</v>
      </c>
      <c r="O61" s="43">
        <f t="shared" si="92"/>
        <v>0</v>
      </c>
      <c r="P61" s="43">
        <v>9845</v>
      </c>
      <c r="Q61" s="43">
        <f t="shared" ref="Q61:W61" si="93">Q62+Q63</f>
        <v>5246</v>
      </c>
      <c r="R61" s="43">
        <f t="shared" si="93"/>
        <v>2921.2</v>
      </c>
      <c r="S61" s="43">
        <f t="shared" si="93"/>
        <v>452.8</v>
      </c>
      <c r="T61" s="43">
        <f t="shared" si="93"/>
        <v>2468.4</v>
      </c>
      <c r="U61" s="43">
        <f t="shared" si="93"/>
        <v>0</v>
      </c>
      <c r="V61" s="43">
        <f t="shared" si="93"/>
        <v>0</v>
      </c>
      <c r="W61" s="43">
        <f t="shared" si="93"/>
        <v>438.883472361249</v>
      </c>
      <c r="X61" s="77"/>
      <c r="Y61" s="118">
        <f t="shared" ref="Y61:AI61" si="94">Y62+Y63</f>
        <v>0</v>
      </c>
      <c r="Z61" s="43">
        <f t="shared" si="94"/>
        <v>0</v>
      </c>
      <c r="AA61" s="43">
        <v>0</v>
      </c>
      <c r="AB61" s="43">
        <f t="shared" si="94"/>
        <v>0</v>
      </c>
      <c r="AC61" s="43">
        <f t="shared" si="94"/>
        <v>0</v>
      </c>
      <c r="AD61" s="54">
        <f t="shared" si="94"/>
        <v>0</v>
      </c>
      <c r="AE61" s="43">
        <f t="shared" si="94"/>
        <v>0</v>
      </c>
      <c r="AF61" s="119">
        <f t="shared" si="94"/>
        <v>0</v>
      </c>
      <c r="AG61" s="119">
        <f t="shared" si="94"/>
        <v>67</v>
      </c>
      <c r="AH61" s="119">
        <f t="shared" si="94"/>
        <v>2598.54356846473</v>
      </c>
      <c r="AI61" s="43">
        <f t="shared" si="94"/>
        <v>0</v>
      </c>
      <c r="AJ61" s="118"/>
      <c r="AK61" s="43">
        <f t="shared" ref="AK61:AO61" si="95">AK62+AK63</f>
        <v>522.767863750898</v>
      </c>
      <c r="AL61" s="54">
        <f t="shared" si="95"/>
        <v>845.87</v>
      </c>
      <c r="AM61" s="43">
        <f t="shared" si="95"/>
        <v>561.917185476893</v>
      </c>
      <c r="AN61" s="119">
        <f t="shared" si="95"/>
        <v>1524</v>
      </c>
      <c r="AO61" s="119">
        <f t="shared" si="95"/>
        <v>-11867</v>
      </c>
      <c r="AP61" s="125">
        <f t="shared" si="0"/>
        <v>-0.88619221865432</v>
      </c>
      <c r="AQ61" s="118">
        <f>AQ62+AQ63</f>
        <v>-5851.08299266433</v>
      </c>
      <c r="AR61" s="198">
        <f t="shared" si="1"/>
        <v>-0.793358257593053</v>
      </c>
      <c r="AS61" s="5"/>
      <c r="AT61" s="5"/>
      <c r="AU61" s="5"/>
      <c r="AV61" s="5"/>
      <c r="AW61" s="5"/>
      <c r="AX61" s="5"/>
      <c r="AY61" s="5"/>
      <c r="AZ61" s="5" t="s">
        <v>123</v>
      </c>
      <c r="BA61" s="5">
        <v>1259</v>
      </c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</row>
    <row r="62" ht="17" customHeight="1" spans="1:53">
      <c r="A62" s="29"/>
      <c r="B62" s="30" t="s">
        <v>111</v>
      </c>
      <c r="C62" s="31">
        <v>2</v>
      </c>
      <c r="D62" s="31"/>
      <c r="E62" s="31"/>
      <c r="F62" s="31"/>
      <c r="G62" s="189"/>
      <c r="H62" s="189"/>
      <c r="I62" s="189"/>
      <c r="J62" s="44">
        <f t="shared" ref="J62:J72" si="96">SUM(K62:O62)</f>
        <v>0</v>
      </c>
      <c r="K62" s="44">
        <f t="shared" ref="K62:K72" si="97">IF(D62="",I62*0.2,0)</f>
        <v>0</v>
      </c>
      <c r="L62" s="44">
        <f t="shared" ref="L62:L72" si="98">IF(D62=2017,I62*0.4,0)</f>
        <v>0</v>
      </c>
      <c r="M62" s="44">
        <f t="shared" ref="M62:M72" si="99">IF(D62=2018,I62*0.6,0)</f>
        <v>0</v>
      </c>
      <c r="N62" s="44">
        <f t="shared" ref="N62:N72" si="100">IF(D62=2019,I62*0.8,0)</f>
        <v>0</v>
      </c>
      <c r="O62" s="44">
        <f t="shared" ref="O62:O72" si="101">IF(D62=2020,I62*1,0)</f>
        <v>0</v>
      </c>
      <c r="P62" s="44"/>
      <c r="Q62" s="44"/>
      <c r="R62" s="44">
        <f>N62*0.4+O62*0.6+P62*0.8+Q62*1</f>
        <v>0</v>
      </c>
      <c r="S62" s="44">
        <f>Q62-T62-U62-V62</f>
        <v>0</v>
      </c>
      <c r="T62" s="44"/>
      <c r="U62" s="44"/>
      <c r="V62" s="44"/>
      <c r="W62" s="44"/>
      <c r="X62" s="76"/>
      <c r="Y62" s="115"/>
      <c r="Z62" s="44"/>
      <c r="AA62" s="44"/>
      <c r="AB62" s="44"/>
      <c r="AC62" s="44"/>
      <c r="AD62" s="76"/>
      <c r="AE62" s="44"/>
      <c r="AF62" s="44"/>
      <c r="AG62" s="44"/>
      <c r="AH62" s="44"/>
      <c r="AI62" s="44"/>
      <c r="AJ62" s="115"/>
      <c r="AK62" s="44">
        <f>AJ62/$AJ$9*0.05*200000</f>
        <v>0</v>
      </c>
      <c r="AL62" s="76"/>
      <c r="AM62" s="44">
        <f>(AL62/$AL$9)*0.05*200000</f>
        <v>0</v>
      </c>
      <c r="AN62" s="67">
        <f>ROUND(AM62+AK62+AE62+AC62+Z62+W62,0)</f>
        <v>0</v>
      </c>
      <c r="AO62" s="67">
        <f t="shared" ref="AO62:AO72" si="102">AN62-G62</f>
        <v>0</v>
      </c>
      <c r="AP62" s="125"/>
      <c r="AQ62" s="115">
        <f t="shared" ref="AQ62:AQ72" si="103">AN62-H62</f>
        <v>0</v>
      </c>
      <c r="AR62" s="198"/>
      <c r="AZ62" s="5" t="s">
        <v>124</v>
      </c>
      <c r="BA62" s="5">
        <v>3056</v>
      </c>
    </row>
    <row r="63" s="7" customFormat="1" ht="17" customHeight="1" spans="1:75">
      <c r="A63" s="45"/>
      <c r="B63" s="46" t="s">
        <v>76</v>
      </c>
      <c r="C63" s="47">
        <v>3</v>
      </c>
      <c r="D63" s="47"/>
      <c r="E63" s="47"/>
      <c r="F63" s="47"/>
      <c r="G63" s="121">
        <f>SUM(G64:G72)</f>
        <v>13391</v>
      </c>
      <c r="H63" s="121">
        <f>SUM(H64:H72)</f>
        <v>7375.08299266433</v>
      </c>
      <c r="I63" s="121">
        <f t="shared" ref="I63:O63" si="104">SUM(I64:I72)</f>
        <v>85777</v>
      </c>
      <c r="J63" s="49">
        <f t="shared" si="104"/>
        <v>17155.4</v>
      </c>
      <c r="K63" s="49">
        <f t="shared" si="104"/>
        <v>17155.4</v>
      </c>
      <c r="L63" s="49">
        <f t="shared" si="104"/>
        <v>0</v>
      </c>
      <c r="M63" s="49">
        <f t="shared" si="104"/>
        <v>0</v>
      </c>
      <c r="N63" s="49">
        <f t="shared" si="104"/>
        <v>0</v>
      </c>
      <c r="O63" s="49">
        <f t="shared" si="104"/>
        <v>0</v>
      </c>
      <c r="P63" s="49">
        <v>9845</v>
      </c>
      <c r="Q63" s="49">
        <f t="shared" ref="Q63:W63" si="105">SUM(Q64:Q72)</f>
        <v>5246</v>
      </c>
      <c r="R63" s="49">
        <f t="shared" si="105"/>
        <v>2921.2</v>
      </c>
      <c r="S63" s="49">
        <f t="shared" si="105"/>
        <v>452.8</v>
      </c>
      <c r="T63" s="49">
        <f t="shared" si="105"/>
        <v>2468.4</v>
      </c>
      <c r="U63" s="49">
        <f t="shared" si="105"/>
        <v>0</v>
      </c>
      <c r="V63" s="49">
        <f t="shared" si="105"/>
        <v>0</v>
      </c>
      <c r="W63" s="49">
        <f t="shared" si="105"/>
        <v>438.883472361249</v>
      </c>
      <c r="X63" s="78"/>
      <c r="Y63" s="120">
        <f t="shared" ref="Y63:AI63" si="106">SUM(Y64:Y72)</f>
        <v>0</v>
      </c>
      <c r="Z63" s="49">
        <f t="shared" si="106"/>
        <v>0</v>
      </c>
      <c r="AA63" s="49">
        <v>0</v>
      </c>
      <c r="AB63" s="49">
        <f t="shared" si="106"/>
        <v>0</v>
      </c>
      <c r="AC63" s="49">
        <f t="shared" si="106"/>
        <v>0</v>
      </c>
      <c r="AD63" s="55">
        <f t="shared" si="106"/>
        <v>0</v>
      </c>
      <c r="AE63" s="49">
        <f t="shared" si="106"/>
        <v>0</v>
      </c>
      <c r="AF63" s="121">
        <f t="shared" si="106"/>
        <v>0</v>
      </c>
      <c r="AG63" s="121">
        <f t="shared" si="106"/>
        <v>67</v>
      </c>
      <c r="AH63" s="121">
        <f t="shared" si="106"/>
        <v>2598.54356846473</v>
      </c>
      <c r="AI63" s="49">
        <f t="shared" si="106"/>
        <v>0</v>
      </c>
      <c r="AJ63" s="120"/>
      <c r="AK63" s="49">
        <f t="shared" ref="AK63:AO63" si="107">SUM(AK64:AK72)</f>
        <v>522.767863750898</v>
      </c>
      <c r="AL63" s="55">
        <f t="shared" si="107"/>
        <v>845.87</v>
      </c>
      <c r="AM63" s="49">
        <f t="shared" si="107"/>
        <v>561.917185476893</v>
      </c>
      <c r="AN63" s="121">
        <f t="shared" si="107"/>
        <v>1524</v>
      </c>
      <c r="AO63" s="121">
        <f t="shared" si="107"/>
        <v>-11867</v>
      </c>
      <c r="AP63" s="125">
        <f t="shared" si="0"/>
        <v>-0.88619221865432</v>
      </c>
      <c r="AQ63" s="120">
        <f>SUM(AQ64:AQ72)</f>
        <v>-5851.08299266433</v>
      </c>
      <c r="AR63" s="198">
        <f t="shared" si="1"/>
        <v>-0.793358257593053</v>
      </c>
      <c r="AS63" s="5"/>
      <c r="AT63" s="5"/>
      <c r="AU63" s="5"/>
      <c r="AV63" s="5"/>
      <c r="AW63" s="5"/>
      <c r="AX63" s="5"/>
      <c r="AY63" s="5"/>
      <c r="AZ63" s="5" t="s">
        <v>125</v>
      </c>
      <c r="BA63" s="5">
        <v>4229</v>
      </c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</row>
    <row r="64" ht="17" customHeight="1" spans="1:53">
      <c r="A64" s="31">
        <v>35</v>
      </c>
      <c r="B64" s="51" t="s">
        <v>112</v>
      </c>
      <c r="C64" s="31" t="s">
        <v>78</v>
      </c>
      <c r="D64" s="31"/>
      <c r="E64" s="31"/>
      <c r="F64" s="31"/>
      <c r="G64" s="189">
        <f t="shared" ref="G64:G72" si="108">VLOOKUP(B:B,$AZ:$BA,2,0)</f>
        <v>800</v>
      </c>
      <c r="H64" s="189">
        <f t="shared" ref="H64:H72" si="109">G64*210000/381298.76</f>
        <v>440.599387210176</v>
      </c>
      <c r="I64" s="189">
        <v>5253</v>
      </c>
      <c r="J64" s="44">
        <f t="shared" si="96"/>
        <v>1050.6</v>
      </c>
      <c r="K64" s="44">
        <f t="shared" si="97"/>
        <v>1050.6</v>
      </c>
      <c r="L64" s="44">
        <f t="shared" si="98"/>
        <v>0</v>
      </c>
      <c r="M64" s="44">
        <f t="shared" si="99"/>
        <v>0</v>
      </c>
      <c r="N64" s="44">
        <f t="shared" si="100"/>
        <v>0</v>
      </c>
      <c r="O64" s="44">
        <f t="shared" si="101"/>
        <v>0</v>
      </c>
      <c r="P64" s="44">
        <v>80</v>
      </c>
      <c r="Q64" s="44">
        <v>343</v>
      </c>
      <c r="R64" s="44">
        <f t="shared" ref="R64:R72" si="110">S64+T64+U64+V64</f>
        <v>137.2</v>
      </c>
      <c r="S64" s="44">
        <f t="shared" ref="S64:S68" si="111">Q64*0.4</f>
        <v>137.2</v>
      </c>
      <c r="T64" s="44"/>
      <c r="U64" s="44"/>
      <c r="V64" s="44"/>
      <c r="W64" s="44">
        <f t="shared" ref="W64:W72" si="112">(J64/$J$9*0.2+P64/$P$9*0.05+R64/$R$9*0.05)*299423</f>
        <v>16.8080173846948</v>
      </c>
      <c r="X64" s="76">
        <v>19988</v>
      </c>
      <c r="Y64" s="115">
        <f t="shared" ref="Y64:Y72" si="113">IF(X64&lt;12842,(12842-X64)/(12842-$X$175),0)</f>
        <v>0</v>
      </c>
      <c r="Z64" s="44">
        <f t="shared" ref="Z64:Z72" si="114">(Y64/$Y$9*0.15)*299423</f>
        <v>0</v>
      </c>
      <c r="AA64" s="44"/>
      <c r="AB64" s="44"/>
      <c r="AC64" s="44"/>
      <c r="AD64" s="76"/>
      <c r="AE64" s="44">
        <f t="shared" ref="AE64:AE72" si="115">AD64/$AD$9*71500</f>
        <v>0</v>
      </c>
      <c r="AF64" s="44"/>
      <c r="AG64" s="44">
        <v>8</v>
      </c>
      <c r="AH64" s="44">
        <f t="shared" ref="AH64:AH72" si="116">AG64/$AG$13*9347</f>
        <v>310.273858921162</v>
      </c>
      <c r="AI64" s="44"/>
      <c r="AJ64" s="115">
        <f>VLOOKUP(B:B,'表6资金使用成效（12月30日）'!B:L,11,0)</f>
        <v>0.925255607076653</v>
      </c>
      <c r="AK64" s="44">
        <f t="shared" ref="AK64:AK72" si="117">AJ64/$AJ$9*0.025*299423</f>
        <v>59.606488647856</v>
      </c>
      <c r="AL64" s="76">
        <v>94.68</v>
      </c>
      <c r="AM64" s="44">
        <f t="shared" ref="AM64:AM72" si="118">(AL64/$AL$9)*0.025*299423</f>
        <v>62.8965669913252</v>
      </c>
      <c r="AN64" s="67">
        <f t="shared" ref="AN64:AN72" si="119">ROUND(AM64+AK64+AE64+AC64+Z64+W64+AI64+AF64,0)</f>
        <v>139</v>
      </c>
      <c r="AO64" s="67">
        <f t="shared" si="102"/>
        <v>-661</v>
      </c>
      <c r="AP64" s="125">
        <f t="shared" si="0"/>
        <v>-0.82625</v>
      </c>
      <c r="AQ64" s="44">
        <f t="shared" si="103"/>
        <v>-301.599387210176</v>
      </c>
      <c r="AR64" s="198">
        <f t="shared" si="1"/>
        <v>-0.684520668809524</v>
      </c>
      <c r="AZ64" s="5" t="s">
        <v>126</v>
      </c>
      <c r="BA64" s="5">
        <v>6816</v>
      </c>
    </row>
    <row r="65" ht="17" customHeight="1" spans="1:53">
      <c r="A65" s="31">
        <v>36</v>
      </c>
      <c r="B65" s="51" t="s">
        <v>115</v>
      </c>
      <c r="C65" s="31" t="s">
        <v>78</v>
      </c>
      <c r="D65" s="31"/>
      <c r="E65" s="31"/>
      <c r="F65" s="31"/>
      <c r="G65" s="189">
        <f t="shared" si="108"/>
        <v>466</v>
      </c>
      <c r="H65" s="189">
        <f t="shared" si="109"/>
        <v>256.649143049928</v>
      </c>
      <c r="I65" s="189">
        <v>2166</v>
      </c>
      <c r="J65" s="44">
        <f t="shared" si="96"/>
        <v>433.2</v>
      </c>
      <c r="K65" s="44">
        <f t="shared" si="97"/>
        <v>433.2</v>
      </c>
      <c r="L65" s="44">
        <f t="shared" si="98"/>
        <v>0</v>
      </c>
      <c r="M65" s="44">
        <f t="shared" si="99"/>
        <v>0</v>
      </c>
      <c r="N65" s="44">
        <f t="shared" si="100"/>
        <v>0</v>
      </c>
      <c r="O65" s="44">
        <f t="shared" si="101"/>
        <v>0</v>
      </c>
      <c r="P65" s="44">
        <v>333</v>
      </c>
      <c r="Q65" s="44">
        <v>88</v>
      </c>
      <c r="R65" s="44">
        <f t="shared" si="110"/>
        <v>35.2</v>
      </c>
      <c r="S65" s="44">
        <f t="shared" si="111"/>
        <v>35.2</v>
      </c>
      <c r="T65" s="44"/>
      <c r="U65" s="44"/>
      <c r="V65" s="44"/>
      <c r="W65" s="44">
        <f t="shared" si="112"/>
        <v>11.9791084548595</v>
      </c>
      <c r="X65" s="76">
        <v>19397</v>
      </c>
      <c r="Y65" s="115">
        <f t="shared" si="113"/>
        <v>0</v>
      </c>
      <c r="Z65" s="44">
        <f t="shared" si="114"/>
        <v>0</v>
      </c>
      <c r="AA65" s="44"/>
      <c r="AB65" s="44"/>
      <c r="AC65" s="44"/>
      <c r="AD65" s="76"/>
      <c r="AE65" s="44">
        <f t="shared" si="115"/>
        <v>0</v>
      </c>
      <c r="AF65" s="44"/>
      <c r="AG65" s="44">
        <v>7</v>
      </c>
      <c r="AH65" s="44">
        <f t="shared" si="116"/>
        <v>271.489626556017</v>
      </c>
      <c r="AI65" s="44"/>
      <c r="AJ65" s="115">
        <f>VLOOKUP(B:B,'表6资金使用成效（12月30日）'!B:L,11,0)</f>
        <v>0.66131834587621</v>
      </c>
      <c r="AK65" s="44">
        <f t="shared" si="117"/>
        <v>42.603215991993</v>
      </c>
      <c r="AL65" s="76">
        <v>96.27</v>
      </c>
      <c r="AM65" s="44">
        <f t="shared" si="118"/>
        <v>63.9528147893417</v>
      </c>
      <c r="AN65" s="67">
        <f t="shared" si="119"/>
        <v>119</v>
      </c>
      <c r="AO65" s="67">
        <f t="shared" si="102"/>
        <v>-347</v>
      </c>
      <c r="AP65" s="125">
        <f t="shared" si="0"/>
        <v>-0.744635193133047</v>
      </c>
      <c r="AQ65" s="44">
        <f t="shared" si="103"/>
        <v>-137.649143049928</v>
      </c>
      <c r="AR65" s="198">
        <f t="shared" si="1"/>
        <v>-0.536331979971388</v>
      </c>
      <c r="AZ65" s="5" t="s">
        <v>127</v>
      </c>
      <c r="BA65" s="5">
        <v>2670</v>
      </c>
    </row>
    <row r="66" ht="17" customHeight="1" spans="1:53">
      <c r="A66" s="31">
        <v>37</v>
      </c>
      <c r="B66" s="51" t="s">
        <v>113</v>
      </c>
      <c r="C66" s="31" t="s">
        <v>78</v>
      </c>
      <c r="D66" s="31"/>
      <c r="E66" s="31"/>
      <c r="F66" s="31"/>
      <c r="G66" s="189">
        <f t="shared" si="108"/>
        <v>1034</v>
      </c>
      <c r="H66" s="189">
        <f t="shared" si="109"/>
        <v>569.474707969153</v>
      </c>
      <c r="I66" s="189">
        <v>6785</v>
      </c>
      <c r="J66" s="44">
        <f t="shared" si="96"/>
        <v>1357</v>
      </c>
      <c r="K66" s="44">
        <f t="shared" si="97"/>
        <v>1357</v>
      </c>
      <c r="L66" s="44">
        <f t="shared" si="98"/>
        <v>0</v>
      </c>
      <c r="M66" s="44">
        <f t="shared" si="99"/>
        <v>0</v>
      </c>
      <c r="N66" s="44">
        <f t="shared" si="100"/>
        <v>0</v>
      </c>
      <c r="O66" s="44">
        <f t="shared" si="101"/>
        <v>0</v>
      </c>
      <c r="P66" s="44">
        <v>520</v>
      </c>
      <c r="Q66" s="44">
        <v>19</v>
      </c>
      <c r="R66" s="44">
        <f t="shared" si="110"/>
        <v>7.6</v>
      </c>
      <c r="S66" s="44">
        <f t="shared" si="111"/>
        <v>7.6</v>
      </c>
      <c r="T66" s="44"/>
      <c r="U66" s="44"/>
      <c r="V66" s="44"/>
      <c r="W66" s="44">
        <f t="shared" si="112"/>
        <v>26.4707475881565</v>
      </c>
      <c r="X66" s="76">
        <v>15701</v>
      </c>
      <c r="Y66" s="115">
        <f t="shared" si="113"/>
        <v>0</v>
      </c>
      <c r="Z66" s="44">
        <f t="shared" si="114"/>
        <v>0</v>
      </c>
      <c r="AA66" s="44"/>
      <c r="AB66" s="44"/>
      <c r="AC66" s="44"/>
      <c r="AD66" s="76"/>
      <c r="AE66" s="44">
        <f t="shared" si="115"/>
        <v>0</v>
      </c>
      <c r="AF66" s="44"/>
      <c r="AG66" s="44">
        <v>8</v>
      </c>
      <c r="AH66" s="44">
        <f t="shared" si="116"/>
        <v>310.273858921162</v>
      </c>
      <c r="AI66" s="44"/>
      <c r="AJ66" s="115">
        <f>VLOOKUP(B:B,'表6资金使用成效（12月30日）'!B:L,11,0)</f>
        <v>0.930711333392521</v>
      </c>
      <c r="AK66" s="44">
        <f t="shared" si="117"/>
        <v>59.9579555141202</v>
      </c>
      <c r="AL66" s="76">
        <v>99.14</v>
      </c>
      <c r="AM66" s="44">
        <f t="shared" si="118"/>
        <v>65.8593752801012</v>
      </c>
      <c r="AN66" s="67">
        <f t="shared" si="119"/>
        <v>152</v>
      </c>
      <c r="AO66" s="67">
        <f t="shared" si="102"/>
        <v>-882</v>
      </c>
      <c r="AP66" s="125">
        <f t="shared" si="0"/>
        <v>-0.852998065764023</v>
      </c>
      <c r="AQ66" s="44">
        <f t="shared" si="103"/>
        <v>-417.474707969153</v>
      </c>
      <c r="AR66" s="198">
        <f t="shared" si="1"/>
        <v>-0.733087355991526</v>
      </c>
      <c r="AZ66" s="5" t="s">
        <v>128</v>
      </c>
      <c r="BA66" s="5">
        <v>1029</v>
      </c>
    </row>
    <row r="67" ht="17" customHeight="1" spans="1:53">
      <c r="A67" s="31">
        <v>38</v>
      </c>
      <c r="B67" s="51" t="s">
        <v>114</v>
      </c>
      <c r="C67" s="31" t="s">
        <v>78</v>
      </c>
      <c r="D67" s="31"/>
      <c r="E67" s="31"/>
      <c r="F67" s="31"/>
      <c r="G67" s="189">
        <f t="shared" si="108"/>
        <v>1186</v>
      </c>
      <c r="H67" s="189">
        <f t="shared" si="109"/>
        <v>653.188591539086</v>
      </c>
      <c r="I67" s="189">
        <v>6899</v>
      </c>
      <c r="J67" s="44">
        <f t="shared" si="96"/>
        <v>1379.8</v>
      </c>
      <c r="K67" s="44">
        <f t="shared" si="97"/>
        <v>1379.8</v>
      </c>
      <c r="L67" s="44">
        <f t="shared" si="98"/>
        <v>0</v>
      </c>
      <c r="M67" s="44">
        <f t="shared" si="99"/>
        <v>0</v>
      </c>
      <c r="N67" s="44">
        <f t="shared" si="100"/>
        <v>0</v>
      </c>
      <c r="O67" s="44">
        <f t="shared" si="101"/>
        <v>0</v>
      </c>
      <c r="P67" s="44">
        <v>584</v>
      </c>
      <c r="Q67" s="44">
        <v>272</v>
      </c>
      <c r="R67" s="44">
        <f t="shared" si="110"/>
        <v>108.8</v>
      </c>
      <c r="S67" s="44">
        <f t="shared" si="111"/>
        <v>108.8</v>
      </c>
      <c r="T67" s="44"/>
      <c r="U67" s="44"/>
      <c r="V67" s="44"/>
      <c r="W67" s="44">
        <f t="shared" si="112"/>
        <v>29.5345616358739</v>
      </c>
      <c r="X67" s="76">
        <v>17966</v>
      </c>
      <c r="Y67" s="115">
        <f t="shared" si="113"/>
        <v>0</v>
      </c>
      <c r="Z67" s="44">
        <f t="shared" si="114"/>
        <v>0</v>
      </c>
      <c r="AA67" s="44"/>
      <c r="AB67" s="44"/>
      <c r="AC67" s="44"/>
      <c r="AD67" s="76"/>
      <c r="AE67" s="44">
        <f t="shared" si="115"/>
        <v>0</v>
      </c>
      <c r="AF67" s="44"/>
      <c r="AG67" s="44">
        <v>8</v>
      </c>
      <c r="AH67" s="44">
        <f t="shared" si="116"/>
        <v>310.273858921162</v>
      </c>
      <c r="AI67" s="44"/>
      <c r="AJ67" s="115">
        <f>VLOOKUP(B:B,'表6资金使用成效（12月30日）'!B:L,11,0)</f>
        <v>0.930343595044942</v>
      </c>
      <c r="AK67" s="44">
        <f t="shared" si="117"/>
        <v>59.9342652046828</v>
      </c>
      <c r="AL67" s="76">
        <v>91.07</v>
      </c>
      <c r="AM67" s="44">
        <f t="shared" si="118"/>
        <v>60.4984194750738</v>
      </c>
      <c r="AN67" s="67">
        <f t="shared" si="119"/>
        <v>150</v>
      </c>
      <c r="AO67" s="67">
        <f t="shared" si="102"/>
        <v>-1036</v>
      </c>
      <c r="AP67" s="125">
        <f t="shared" si="0"/>
        <v>-0.873524451939292</v>
      </c>
      <c r="AQ67" s="44">
        <f t="shared" si="103"/>
        <v>-503.188591539086</v>
      </c>
      <c r="AR67" s="198">
        <f t="shared" si="1"/>
        <v>-0.770357287400626</v>
      </c>
      <c r="AZ67" s="5" t="s">
        <v>129</v>
      </c>
      <c r="BA67" s="5">
        <v>2076</v>
      </c>
    </row>
    <row r="68" ht="17" customHeight="1" spans="1:53">
      <c r="A68" s="31">
        <v>39</v>
      </c>
      <c r="B68" s="51" t="s">
        <v>116</v>
      </c>
      <c r="C68" s="31" t="s">
        <v>78</v>
      </c>
      <c r="D68" s="31"/>
      <c r="E68" s="31"/>
      <c r="F68" s="31"/>
      <c r="G68" s="189">
        <f t="shared" si="108"/>
        <v>1287</v>
      </c>
      <c r="H68" s="189">
        <f t="shared" si="109"/>
        <v>708.814264174371</v>
      </c>
      <c r="I68" s="189">
        <v>9464</v>
      </c>
      <c r="J68" s="44">
        <f t="shared" si="96"/>
        <v>1892.8</v>
      </c>
      <c r="K68" s="44">
        <f t="shared" si="97"/>
        <v>1892.8</v>
      </c>
      <c r="L68" s="44">
        <f t="shared" si="98"/>
        <v>0</v>
      </c>
      <c r="M68" s="44">
        <f t="shared" si="99"/>
        <v>0</v>
      </c>
      <c r="N68" s="44">
        <f t="shared" si="100"/>
        <v>0</v>
      </c>
      <c r="O68" s="44">
        <f t="shared" si="101"/>
        <v>0</v>
      </c>
      <c r="P68" s="44">
        <v>904</v>
      </c>
      <c r="Q68" s="44">
        <v>102</v>
      </c>
      <c r="R68" s="44">
        <f t="shared" si="110"/>
        <v>40.8</v>
      </c>
      <c r="S68" s="44">
        <f t="shared" si="111"/>
        <v>40.8</v>
      </c>
      <c r="T68" s="44"/>
      <c r="U68" s="44"/>
      <c r="V68" s="44"/>
      <c r="W68" s="44">
        <f t="shared" si="112"/>
        <v>40.6198438387163</v>
      </c>
      <c r="X68" s="76">
        <v>16535</v>
      </c>
      <c r="Y68" s="115">
        <f t="shared" si="113"/>
        <v>0</v>
      </c>
      <c r="Z68" s="44">
        <f t="shared" si="114"/>
        <v>0</v>
      </c>
      <c r="AA68" s="44"/>
      <c r="AB68" s="44"/>
      <c r="AC68" s="44"/>
      <c r="AD68" s="76"/>
      <c r="AE68" s="44">
        <f t="shared" si="115"/>
        <v>0</v>
      </c>
      <c r="AF68" s="44"/>
      <c r="AG68" s="44">
        <v>8</v>
      </c>
      <c r="AH68" s="44">
        <f t="shared" si="116"/>
        <v>310.273858921162</v>
      </c>
      <c r="AI68" s="44"/>
      <c r="AJ68" s="115">
        <f>VLOOKUP(B:B,'表6资金使用成效（12月30日）'!B:L,11,0)</f>
        <v>0.95564216225865</v>
      </c>
      <c r="AK68" s="44">
        <f t="shared" si="117"/>
        <v>61.5640405315196</v>
      </c>
      <c r="AL68" s="76">
        <v>95.35</v>
      </c>
      <c r="AM68" s="44">
        <f t="shared" si="118"/>
        <v>63.3416525414328</v>
      </c>
      <c r="AN68" s="67">
        <f t="shared" si="119"/>
        <v>166</v>
      </c>
      <c r="AO68" s="67">
        <f t="shared" si="102"/>
        <v>-1121</v>
      </c>
      <c r="AP68" s="125">
        <f t="shared" si="0"/>
        <v>-0.871017871017871</v>
      </c>
      <c r="AQ68" s="44">
        <f t="shared" si="103"/>
        <v>-542.814264174371</v>
      </c>
      <c r="AR68" s="198">
        <f t="shared" si="1"/>
        <v>-0.765806067414068</v>
      </c>
      <c r="AZ68" s="5" t="s">
        <v>130</v>
      </c>
      <c r="BA68" s="5">
        <v>1136</v>
      </c>
    </row>
    <row r="69" ht="17" customHeight="1" spans="1:53">
      <c r="A69" s="31">
        <v>40</v>
      </c>
      <c r="B69" s="51" t="s">
        <v>117</v>
      </c>
      <c r="C69" s="31" t="s">
        <v>78</v>
      </c>
      <c r="D69" s="31"/>
      <c r="E69" s="31"/>
      <c r="F69" s="31"/>
      <c r="G69" s="189">
        <f t="shared" si="108"/>
        <v>2239</v>
      </c>
      <c r="H69" s="189">
        <f t="shared" si="109"/>
        <v>1233.12753495448</v>
      </c>
      <c r="I69" s="189">
        <v>11773</v>
      </c>
      <c r="J69" s="44">
        <f t="shared" si="96"/>
        <v>2354.6</v>
      </c>
      <c r="K69" s="44">
        <f t="shared" si="97"/>
        <v>2354.6</v>
      </c>
      <c r="L69" s="44">
        <f t="shared" si="98"/>
        <v>0</v>
      </c>
      <c r="M69" s="44">
        <f t="shared" si="99"/>
        <v>0</v>
      </c>
      <c r="N69" s="44">
        <f t="shared" si="100"/>
        <v>0</v>
      </c>
      <c r="O69" s="44">
        <f t="shared" si="101"/>
        <v>0</v>
      </c>
      <c r="P69" s="44">
        <v>1010</v>
      </c>
      <c r="Q69" s="44">
        <v>1238</v>
      </c>
      <c r="R69" s="44">
        <f t="shared" si="110"/>
        <v>742.8</v>
      </c>
      <c r="S69" s="44"/>
      <c r="T69" s="44">
        <f t="shared" ref="T69:T72" si="120">Q69*0.6</f>
        <v>742.8</v>
      </c>
      <c r="U69" s="44"/>
      <c r="V69" s="44"/>
      <c r="W69" s="44">
        <f t="shared" si="112"/>
        <v>59.602930632816</v>
      </c>
      <c r="X69" s="76">
        <v>16220</v>
      </c>
      <c r="Y69" s="115">
        <f t="shared" si="113"/>
        <v>0</v>
      </c>
      <c r="Z69" s="44">
        <f t="shared" si="114"/>
        <v>0</v>
      </c>
      <c r="AA69" s="44"/>
      <c r="AB69" s="44"/>
      <c r="AC69" s="44"/>
      <c r="AD69" s="76"/>
      <c r="AE69" s="44">
        <f t="shared" si="115"/>
        <v>0</v>
      </c>
      <c r="AF69" s="44"/>
      <c r="AG69" s="44">
        <v>8</v>
      </c>
      <c r="AH69" s="44">
        <f t="shared" si="116"/>
        <v>310.273858921162</v>
      </c>
      <c r="AI69" s="44"/>
      <c r="AJ69" s="115">
        <f>VLOOKUP(B:B,'表6资金使用成效（12月30日）'!B:L,11,0)</f>
        <v>0.928250643805485</v>
      </c>
      <c r="AK69" s="44">
        <f t="shared" si="117"/>
        <v>59.7994338420398</v>
      </c>
      <c r="AL69" s="76">
        <v>87.02</v>
      </c>
      <c r="AM69" s="44">
        <f t="shared" si="118"/>
        <v>57.807976970692</v>
      </c>
      <c r="AN69" s="67">
        <f t="shared" si="119"/>
        <v>177</v>
      </c>
      <c r="AO69" s="67">
        <f t="shared" si="102"/>
        <v>-2062</v>
      </c>
      <c r="AP69" s="125">
        <f t="shared" si="0"/>
        <v>-0.92094685127289</v>
      </c>
      <c r="AQ69" s="44">
        <f t="shared" si="103"/>
        <v>-1056.12753495448</v>
      </c>
      <c r="AR69" s="198">
        <f t="shared" si="1"/>
        <v>-0.856462535315511</v>
      </c>
      <c r="AZ69" s="5" t="s">
        <v>131</v>
      </c>
      <c r="BA69" s="5">
        <v>4975</v>
      </c>
    </row>
    <row r="70" ht="17" customHeight="1" spans="1:53">
      <c r="A70" s="31">
        <v>41</v>
      </c>
      <c r="B70" s="51" t="s">
        <v>118</v>
      </c>
      <c r="C70" s="31" t="s">
        <v>78</v>
      </c>
      <c r="D70" s="31"/>
      <c r="E70" s="31"/>
      <c r="F70" s="31"/>
      <c r="G70" s="189">
        <f t="shared" si="108"/>
        <v>2130</v>
      </c>
      <c r="H70" s="189">
        <f t="shared" si="109"/>
        <v>1173.09586844709</v>
      </c>
      <c r="I70" s="189">
        <v>10779</v>
      </c>
      <c r="J70" s="44">
        <f t="shared" si="96"/>
        <v>2155.8</v>
      </c>
      <c r="K70" s="44">
        <f t="shared" si="97"/>
        <v>2155.8</v>
      </c>
      <c r="L70" s="44">
        <f t="shared" si="98"/>
        <v>0</v>
      </c>
      <c r="M70" s="44">
        <f t="shared" si="99"/>
        <v>0</v>
      </c>
      <c r="N70" s="44">
        <f t="shared" si="100"/>
        <v>0</v>
      </c>
      <c r="O70" s="44">
        <f t="shared" si="101"/>
        <v>0</v>
      </c>
      <c r="P70" s="44">
        <v>1472</v>
      </c>
      <c r="Q70" s="44">
        <v>308</v>
      </c>
      <c r="R70" s="44">
        <f t="shared" si="110"/>
        <v>123.2</v>
      </c>
      <c r="S70" s="44">
        <f>Q70*0.4</f>
        <v>123.2</v>
      </c>
      <c r="T70" s="44"/>
      <c r="U70" s="44"/>
      <c r="V70" s="44"/>
      <c r="W70" s="44">
        <f t="shared" si="112"/>
        <v>55.4495184498898</v>
      </c>
      <c r="X70" s="76">
        <v>15441</v>
      </c>
      <c r="Y70" s="115">
        <f t="shared" si="113"/>
        <v>0</v>
      </c>
      <c r="Z70" s="44">
        <f t="shared" si="114"/>
        <v>0</v>
      </c>
      <c r="AA70" s="44"/>
      <c r="AB70" s="44"/>
      <c r="AC70" s="44"/>
      <c r="AD70" s="76"/>
      <c r="AE70" s="44">
        <f t="shared" si="115"/>
        <v>0</v>
      </c>
      <c r="AF70" s="44"/>
      <c r="AG70" s="44">
        <v>6</v>
      </c>
      <c r="AH70" s="44">
        <f t="shared" si="116"/>
        <v>232.705394190871</v>
      </c>
      <c r="AI70" s="44"/>
      <c r="AJ70" s="115">
        <f>VLOOKUP(B:B,'表6资金使用成效（12月30日）'!B:L,11,0)</f>
        <v>0.904004221504842</v>
      </c>
      <c r="AK70" s="44">
        <f t="shared" si="117"/>
        <v>58.2374394217297</v>
      </c>
      <c r="AL70" s="76">
        <v>98.69</v>
      </c>
      <c r="AM70" s="44">
        <f t="shared" si="118"/>
        <v>65.5604372240588</v>
      </c>
      <c r="AN70" s="67">
        <f t="shared" si="119"/>
        <v>179</v>
      </c>
      <c r="AO70" s="67">
        <f t="shared" si="102"/>
        <v>-1951</v>
      </c>
      <c r="AP70" s="125">
        <f t="shared" si="0"/>
        <v>-0.915962441314554</v>
      </c>
      <c r="AQ70" s="44">
        <f t="shared" si="103"/>
        <v>-994.09586844709</v>
      </c>
      <c r="AR70" s="198">
        <f t="shared" si="1"/>
        <v>-0.847412300380058</v>
      </c>
      <c r="AZ70" s="5" t="s">
        <v>132</v>
      </c>
      <c r="BA70" s="5">
        <v>4588</v>
      </c>
    </row>
    <row r="71" ht="17" customHeight="1" spans="1:53">
      <c r="A71" s="31">
        <v>42</v>
      </c>
      <c r="B71" s="51" t="s">
        <v>119</v>
      </c>
      <c r="C71" s="31" t="s">
        <v>78</v>
      </c>
      <c r="D71" s="31"/>
      <c r="E71" s="31"/>
      <c r="F71" s="31"/>
      <c r="G71" s="189">
        <f t="shared" si="108"/>
        <v>1652</v>
      </c>
      <c r="H71" s="189">
        <f t="shared" si="109"/>
        <v>909.837734589014</v>
      </c>
      <c r="I71" s="189">
        <v>10233</v>
      </c>
      <c r="J71" s="44">
        <f t="shared" si="96"/>
        <v>2046.6</v>
      </c>
      <c r="K71" s="44">
        <f t="shared" si="97"/>
        <v>2046.6</v>
      </c>
      <c r="L71" s="44">
        <f t="shared" si="98"/>
        <v>0</v>
      </c>
      <c r="M71" s="44">
        <f t="shared" si="99"/>
        <v>0</v>
      </c>
      <c r="N71" s="44">
        <f t="shared" si="100"/>
        <v>0</v>
      </c>
      <c r="O71" s="44">
        <f t="shared" si="101"/>
        <v>0</v>
      </c>
      <c r="P71" s="44">
        <v>1921</v>
      </c>
      <c r="Q71" s="44">
        <v>1042</v>
      </c>
      <c r="R71" s="44">
        <f t="shared" si="110"/>
        <v>625.2</v>
      </c>
      <c r="S71" s="44"/>
      <c r="T71" s="44">
        <f t="shared" si="120"/>
        <v>625.2</v>
      </c>
      <c r="U71" s="44"/>
      <c r="V71" s="44"/>
      <c r="W71" s="44">
        <f t="shared" si="112"/>
        <v>70.2263270852873</v>
      </c>
      <c r="X71" s="76">
        <v>15858</v>
      </c>
      <c r="Y71" s="115">
        <f t="shared" si="113"/>
        <v>0</v>
      </c>
      <c r="Z71" s="44">
        <f t="shared" si="114"/>
        <v>0</v>
      </c>
      <c r="AA71" s="44"/>
      <c r="AB71" s="44"/>
      <c r="AC71" s="44"/>
      <c r="AD71" s="76"/>
      <c r="AE71" s="44">
        <f t="shared" si="115"/>
        <v>0</v>
      </c>
      <c r="AF71" s="44"/>
      <c r="AG71" s="44">
        <v>7</v>
      </c>
      <c r="AH71" s="44">
        <f t="shared" si="116"/>
        <v>271.489626556017</v>
      </c>
      <c r="AI71" s="44"/>
      <c r="AJ71" s="115">
        <f>VLOOKUP(B:B,'表6资金使用成效（12月30日）'!B:L,11,0)</f>
        <v>0.953452762993112</v>
      </c>
      <c r="AK71" s="44">
        <f t="shared" si="117"/>
        <v>61.4229958283383</v>
      </c>
      <c r="AL71" s="76">
        <v>95.16</v>
      </c>
      <c r="AM71" s="44">
        <f t="shared" si="118"/>
        <v>63.2154342511038</v>
      </c>
      <c r="AN71" s="67">
        <f t="shared" si="119"/>
        <v>195</v>
      </c>
      <c r="AO71" s="67">
        <f t="shared" si="102"/>
        <v>-1457</v>
      </c>
      <c r="AP71" s="125">
        <f t="shared" si="0"/>
        <v>-0.881961259079903</v>
      </c>
      <c r="AQ71" s="44">
        <f t="shared" si="103"/>
        <v>-714.837734589014</v>
      </c>
      <c r="AR71" s="198">
        <f t="shared" si="1"/>
        <v>-0.785676068834314</v>
      </c>
      <c r="AZ71" s="5" t="s">
        <v>133</v>
      </c>
      <c r="BA71" s="5">
        <v>3632</v>
      </c>
    </row>
    <row r="72" ht="17" customHeight="1" spans="1:53">
      <c r="A72" s="31">
        <v>43</v>
      </c>
      <c r="B72" s="51" t="s">
        <v>120</v>
      </c>
      <c r="C72" s="31" t="s">
        <v>78</v>
      </c>
      <c r="D72" s="31"/>
      <c r="E72" s="31"/>
      <c r="F72" s="31"/>
      <c r="G72" s="189">
        <f t="shared" si="108"/>
        <v>2597</v>
      </c>
      <c r="H72" s="189">
        <f t="shared" si="109"/>
        <v>1430.29576073103</v>
      </c>
      <c r="I72" s="189">
        <v>22425</v>
      </c>
      <c r="J72" s="44">
        <f t="shared" si="96"/>
        <v>4485</v>
      </c>
      <c r="K72" s="44">
        <f t="shared" si="97"/>
        <v>4485</v>
      </c>
      <c r="L72" s="44">
        <f t="shared" si="98"/>
        <v>0</v>
      </c>
      <c r="M72" s="44">
        <f t="shared" si="99"/>
        <v>0</v>
      </c>
      <c r="N72" s="44">
        <f t="shared" si="100"/>
        <v>0</v>
      </c>
      <c r="O72" s="44">
        <f t="shared" si="101"/>
        <v>0</v>
      </c>
      <c r="P72" s="44">
        <v>3021</v>
      </c>
      <c r="Q72" s="44">
        <v>1834</v>
      </c>
      <c r="R72" s="44">
        <f t="shared" si="110"/>
        <v>1100.4</v>
      </c>
      <c r="S72" s="44"/>
      <c r="T72" s="44">
        <f t="shared" si="120"/>
        <v>1100.4</v>
      </c>
      <c r="U72" s="44"/>
      <c r="V72" s="44"/>
      <c r="W72" s="44">
        <f t="shared" si="112"/>
        <v>128.192417290955</v>
      </c>
      <c r="X72" s="76">
        <v>15128</v>
      </c>
      <c r="Y72" s="115">
        <f t="shared" si="113"/>
        <v>0</v>
      </c>
      <c r="Z72" s="44">
        <f t="shared" si="114"/>
        <v>0</v>
      </c>
      <c r="AA72" s="44"/>
      <c r="AB72" s="44"/>
      <c r="AC72" s="44"/>
      <c r="AD72" s="76"/>
      <c r="AE72" s="44">
        <f t="shared" si="115"/>
        <v>0</v>
      </c>
      <c r="AF72" s="44"/>
      <c r="AG72" s="44">
        <v>7</v>
      </c>
      <c r="AH72" s="44">
        <f t="shared" si="116"/>
        <v>271.489626556017</v>
      </c>
      <c r="AI72" s="44"/>
      <c r="AJ72" s="115">
        <f>VLOOKUP(B:B,'表6资金使用成效（12月30日）'!B:L,11,0)</f>
        <v>0.925807286881275</v>
      </c>
      <c r="AK72" s="44">
        <f t="shared" si="117"/>
        <v>59.6420287686183</v>
      </c>
      <c r="AL72" s="76">
        <v>88.49</v>
      </c>
      <c r="AM72" s="44">
        <f t="shared" si="118"/>
        <v>58.7845079537639</v>
      </c>
      <c r="AN72" s="67">
        <f t="shared" si="119"/>
        <v>247</v>
      </c>
      <c r="AO72" s="67">
        <f t="shared" si="102"/>
        <v>-2350</v>
      </c>
      <c r="AP72" s="125">
        <f t="shared" si="0"/>
        <v>-0.904890257989988</v>
      </c>
      <c r="AQ72" s="44">
        <f t="shared" si="103"/>
        <v>-1183.29576073103</v>
      </c>
      <c r="AR72" s="198">
        <f t="shared" si="1"/>
        <v>-0.827308444322203</v>
      </c>
      <c r="AZ72" s="5" t="s">
        <v>134</v>
      </c>
      <c r="BA72" s="5">
        <v>5593</v>
      </c>
    </row>
    <row r="73" s="6" customFormat="1" ht="17" customHeight="1" spans="1:75">
      <c r="A73" s="39"/>
      <c r="B73" s="40" t="s">
        <v>121</v>
      </c>
      <c r="C73" s="41">
        <v>1</v>
      </c>
      <c r="D73" s="41"/>
      <c r="E73" s="41"/>
      <c r="F73" s="41"/>
      <c r="G73" s="119">
        <f>G74+G75</f>
        <v>45384</v>
      </c>
      <c r="H73" s="119">
        <f>H74+H75</f>
        <v>24995.2032364333</v>
      </c>
      <c r="I73" s="119">
        <f t="shared" ref="I73:O73" si="121">I74+I75</f>
        <v>819007</v>
      </c>
      <c r="J73" s="43">
        <f t="shared" si="121"/>
        <v>527926.2</v>
      </c>
      <c r="K73" s="43">
        <f t="shared" si="121"/>
        <v>39463.2</v>
      </c>
      <c r="L73" s="43">
        <f t="shared" si="121"/>
        <v>13266.4</v>
      </c>
      <c r="M73" s="43">
        <f t="shared" si="121"/>
        <v>29035.2</v>
      </c>
      <c r="N73" s="43">
        <f t="shared" si="121"/>
        <v>375886.4</v>
      </c>
      <c r="O73" s="43">
        <f t="shared" si="121"/>
        <v>70275</v>
      </c>
      <c r="P73" s="43">
        <v>72742</v>
      </c>
      <c r="Q73" s="43">
        <f t="shared" ref="Q73:W73" si="122">Q74+Q75</f>
        <v>75806</v>
      </c>
      <c r="R73" s="43">
        <f t="shared" si="122"/>
        <v>68978.2</v>
      </c>
      <c r="S73" s="43">
        <f t="shared" si="122"/>
        <v>0</v>
      </c>
      <c r="T73" s="43">
        <f t="shared" si="122"/>
        <v>9109.2</v>
      </c>
      <c r="U73" s="43">
        <f t="shared" si="122"/>
        <v>3020</v>
      </c>
      <c r="V73" s="43">
        <f t="shared" si="122"/>
        <v>56849</v>
      </c>
      <c r="W73" s="43">
        <f t="shared" si="122"/>
        <v>9031.49103282005</v>
      </c>
      <c r="X73" s="77"/>
      <c r="Y73" s="118">
        <f t="shared" ref="Y73:AI73" si="123">Y74+Y75</f>
        <v>2.36102175969725</v>
      </c>
      <c r="Z73" s="43">
        <f t="shared" si="123"/>
        <v>5872.68185161898</v>
      </c>
      <c r="AA73" s="43">
        <v>49</v>
      </c>
      <c r="AB73" s="43">
        <f t="shared" si="123"/>
        <v>12356.5294117647</v>
      </c>
      <c r="AC73" s="43">
        <f t="shared" si="123"/>
        <v>12356.5294117647</v>
      </c>
      <c r="AD73" s="54">
        <f t="shared" si="123"/>
        <v>446161.4</v>
      </c>
      <c r="AE73" s="43">
        <f t="shared" si="123"/>
        <v>1875.53144488896</v>
      </c>
      <c r="AF73" s="119">
        <f t="shared" si="123"/>
        <v>0</v>
      </c>
      <c r="AG73" s="119">
        <f t="shared" si="123"/>
        <v>55</v>
      </c>
      <c r="AH73" s="119">
        <f t="shared" si="123"/>
        <v>1124.74273858921</v>
      </c>
      <c r="AI73" s="43">
        <f t="shared" si="123"/>
        <v>0</v>
      </c>
      <c r="AJ73" s="118"/>
      <c r="AK73" s="43">
        <f t="shared" ref="AK73:AO73" si="124">AK74+AK75</f>
        <v>753.725142712485</v>
      </c>
      <c r="AL73" s="54">
        <f t="shared" si="124"/>
        <v>1183.02</v>
      </c>
      <c r="AM73" s="43">
        <f t="shared" si="124"/>
        <v>785.888220131786</v>
      </c>
      <c r="AN73" s="119">
        <f t="shared" si="124"/>
        <v>30677</v>
      </c>
      <c r="AO73" s="119">
        <f t="shared" si="124"/>
        <v>-14707</v>
      </c>
      <c r="AP73" s="125">
        <f t="shared" ref="AP73:AP136" si="125">AO73/G73</f>
        <v>-0.324056936365239</v>
      </c>
      <c r="AQ73" s="118">
        <f>AQ74+AQ75</f>
        <v>5681.79676356673</v>
      </c>
      <c r="AR73" s="198">
        <f t="shared" ref="AR73:AR136" si="126">AQ73/H73</f>
        <v>0.227315485688265</v>
      </c>
      <c r="AS73" s="5"/>
      <c r="AT73" s="5"/>
      <c r="AU73" s="5"/>
      <c r="AV73" s="5"/>
      <c r="AW73" s="5"/>
      <c r="AX73" s="5"/>
      <c r="AY73" s="5"/>
      <c r="AZ73" s="5" t="s">
        <v>135</v>
      </c>
      <c r="BA73" s="5">
        <v>4325</v>
      </c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</row>
    <row r="74" ht="17" customHeight="1" spans="1:53">
      <c r="A74" s="29"/>
      <c r="B74" s="30" t="s">
        <v>122</v>
      </c>
      <c r="C74" s="31">
        <v>2</v>
      </c>
      <c r="D74" s="31"/>
      <c r="E74" s="31"/>
      <c r="F74" s="31"/>
      <c r="G74" s="189"/>
      <c r="H74" s="189"/>
      <c r="I74" s="189"/>
      <c r="J74" s="44">
        <f t="shared" ref="J74:J88" si="127">SUM(K74:O74)</f>
        <v>0</v>
      </c>
      <c r="K74" s="44">
        <f t="shared" ref="K74:K88" si="128">IF(D74="",I74*0.2,0)</f>
        <v>0</v>
      </c>
      <c r="L74" s="44">
        <f t="shared" ref="L74:L88" si="129">IF(D74=2017,I74*0.4,0)</f>
        <v>0</v>
      </c>
      <c r="M74" s="44">
        <f t="shared" ref="M74:M88" si="130">IF(D74=2018,I74*0.6,0)</f>
        <v>0</v>
      </c>
      <c r="N74" s="44">
        <f t="shared" ref="N74:N88" si="131">IF(D74=2019,I74*0.8,0)</f>
        <v>0</v>
      </c>
      <c r="O74" s="44">
        <f t="shared" ref="O74:O88" si="132">IF(D74=2020,I74*1,0)</f>
        <v>0</v>
      </c>
      <c r="P74" s="44"/>
      <c r="Q74" s="44"/>
      <c r="R74" s="44">
        <f>N74*0.4+O74*0.6+P74*0.8+Q74*1</f>
        <v>0</v>
      </c>
      <c r="S74" s="44">
        <f>Q74-T74-U74-V74</f>
        <v>0</v>
      </c>
      <c r="T74" s="44"/>
      <c r="U74" s="44"/>
      <c r="V74" s="44"/>
      <c r="W74" s="44"/>
      <c r="X74" s="76"/>
      <c r="Y74" s="115"/>
      <c r="Z74" s="44"/>
      <c r="AA74" s="44"/>
      <c r="AB74" s="44"/>
      <c r="AC74" s="44"/>
      <c r="AD74" s="76"/>
      <c r="AE74" s="44"/>
      <c r="AF74" s="44"/>
      <c r="AG74" s="44"/>
      <c r="AH74" s="44"/>
      <c r="AI74" s="44"/>
      <c r="AJ74" s="115"/>
      <c r="AK74" s="44">
        <f>AJ74/$AJ$9*0.05*200000</f>
        <v>0</v>
      </c>
      <c r="AL74" s="76"/>
      <c r="AM74" s="44">
        <f>(AL74/$AL$9)*0.05*200000</f>
        <v>0</v>
      </c>
      <c r="AN74" s="67">
        <f>ROUND(AM74+AK74+AE74+AC74+Z74+W74,0)</f>
        <v>0</v>
      </c>
      <c r="AO74" s="67">
        <f t="shared" ref="AO74:AO88" si="133">AN74-G74</f>
        <v>0</v>
      </c>
      <c r="AP74" s="125"/>
      <c r="AQ74" s="115">
        <f t="shared" ref="AQ74:AQ88" si="134">AN74-H74</f>
        <v>0</v>
      </c>
      <c r="AR74" s="198"/>
      <c r="AZ74" s="5" t="s">
        <v>136</v>
      </c>
      <c r="BA74" s="5">
        <v>24903</v>
      </c>
    </row>
    <row r="75" s="7" customFormat="1" ht="17" customHeight="1" spans="1:75">
      <c r="A75" s="45"/>
      <c r="B75" s="46" t="s">
        <v>76</v>
      </c>
      <c r="C75" s="47">
        <v>3</v>
      </c>
      <c r="D75" s="47"/>
      <c r="E75" s="47"/>
      <c r="F75" s="47"/>
      <c r="G75" s="121">
        <f>SUM(G76:G88)</f>
        <v>45384</v>
      </c>
      <c r="H75" s="121">
        <f>SUM(H76:H88)</f>
        <v>24995.2032364333</v>
      </c>
      <c r="I75" s="121">
        <f t="shared" ref="I75:O75" si="135">SUM(I76:I88)</f>
        <v>819007</v>
      </c>
      <c r="J75" s="49">
        <f t="shared" si="135"/>
        <v>527926.2</v>
      </c>
      <c r="K75" s="49">
        <f t="shared" si="135"/>
        <v>39463.2</v>
      </c>
      <c r="L75" s="49">
        <f t="shared" si="135"/>
        <v>13266.4</v>
      </c>
      <c r="M75" s="49">
        <f t="shared" si="135"/>
        <v>29035.2</v>
      </c>
      <c r="N75" s="49">
        <f t="shared" si="135"/>
        <v>375886.4</v>
      </c>
      <c r="O75" s="49">
        <f t="shared" si="135"/>
        <v>70275</v>
      </c>
      <c r="P75" s="49">
        <v>72742</v>
      </c>
      <c r="Q75" s="49">
        <f t="shared" ref="Q75:W75" si="136">SUM(Q76:Q88)</f>
        <v>75806</v>
      </c>
      <c r="R75" s="49">
        <f t="shared" si="136"/>
        <v>68978.2</v>
      </c>
      <c r="S75" s="49">
        <f t="shared" si="136"/>
        <v>0</v>
      </c>
      <c r="T75" s="49">
        <f t="shared" si="136"/>
        <v>9109.2</v>
      </c>
      <c r="U75" s="49">
        <f t="shared" si="136"/>
        <v>3020</v>
      </c>
      <c r="V75" s="49">
        <f t="shared" si="136"/>
        <v>56849</v>
      </c>
      <c r="W75" s="49">
        <f t="shared" si="136"/>
        <v>9031.49103282005</v>
      </c>
      <c r="X75" s="78"/>
      <c r="Y75" s="120">
        <f t="shared" ref="Y75:AI75" si="137">SUM(Y76:Y88)</f>
        <v>2.36102175969725</v>
      </c>
      <c r="Z75" s="49">
        <f t="shared" si="137"/>
        <v>5872.68185161898</v>
      </c>
      <c r="AA75" s="49">
        <v>49</v>
      </c>
      <c r="AB75" s="49">
        <f t="shared" si="137"/>
        <v>12356.5294117647</v>
      </c>
      <c r="AC75" s="49">
        <f t="shared" si="137"/>
        <v>12356.5294117647</v>
      </c>
      <c r="AD75" s="55">
        <f t="shared" si="137"/>
        <v>446161.4</v>
      </c>
      <c r="AE75" s="49">
        <f t="shared" si="137"/>
        <v>1875.53144488896</v>
      </c>
      <c r="AF75" s="121">
        <f t="shared" si="137"/>
        <v>0</v>
      </c>
      <c r="AG75" s="121">
        <f t="shared" si="137"/>
        <v>55</v>
      </c>
      <c r="AH75" s="121">
        <f t="shared" si="137"/>
        <v>1124.74273858921</v>
      </c>
      <c r="AI75" s="49">
        <f t="shared" si="137"/>
        <v>0</v>
      </c>
      <c r="AJ75" s="120"/>
      <c r="AK75" s="49">
        <f t="shared" ref="AK75:AO75" si="138">SUM(AK76:AK88)</f>
        <v>753.725142712485</v>
      </c>
      <c r="AL75" s="55">
        <f t="shared" si="138"/>
        <v>1183.02</v>
      </c>
      <c r="AM75" s="49">
        <f t="shared" si="138"/>
        <v>785.888220131786</v>
      </c>
      <c r="AN75" s="121">
        <f t="shared" si="138"/>
        <v>30677</v>
      </c>
      <c r="AO75" s="121">
        <f t="shared" si="138"/>
        <v>-14707</v>
      </c>
      <c r="AP75" s="125">
        <f t="shared" si="125"/>
        <v>-0.324056936365239</v>
      </c>
      <c r="AQ75" s="120">
        <f>SUM(AQ76:AQ88)</f>
        <v>5681.79676356673</v>
      </c>
      <c r="AR75" s="198">
        <f t="shared" si="126"/>
        <v>0.227315485688265</v>
      </c>
      <c r="AS75" s="5"/>
      <c r="AT75" s="5"/>
      <c r="AU75" s="5"/>
      <c r="AV75" s="5"/>
      <c r="AW75" s="5"/>
      <c r="AX75" s="5"/>
      <c r="AY75" s="5"/>
      <c r="AZ75" s="5" t="s">
        <v>137</v>
      </c>
      <c r="BA75" s="5">
        <v>0</v>
      </c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</row>
    <row r="76" ht="17" customHeight="1" spans="1:53">
      <c r="A76" s="31">
        <v>44</v>
      </c>
      <c r="B76" s="51" t="s">
        <v>123</v>
      </c>
      <c r="C76" s="31" t="s">
        <v>78</v>
      </c>
      <c r="D76" s="31"/>
      <c r="E76" s="31"/>
      <c r="F76" s="31"/>
      <c r="G76" s="189">
        <f t="shared" ref="G76:G88" si="139">VLOOKUP(B:B,$AZ:$BA,2,0)</f>
        <v>1259</v>
      </c>
      <c r="H76" s="189">
        <f t="shared" ref="H76:H88" si="140">G76*210000/381298.76</f>
        <v>693.393285622015</v>
      </c>
      <c r="I76" s="189">
        <v>11957</v>
      </c>
      <c r="J76" s="44">
        <f t="shared" si="127"/>
        <v>2391.4</v>
      </c>
      <c r="K76" s="44">
        <f t="shared" si="128"/>
        <v>2391.4</v>
      </c>
      <c r="L76" s="44">
        <f t="shared" si="129"/>
        <v>0</v>
      </c>
      <c r="M76" s="44">
        <f t="shared" si="130"/>
        <v>0</v>
      </c>
      <c r="N76" s="44">
        <f t="shared" si="131"/>
        <v>0</v>
      </c>
      <c r="O76" s="44">
        <f t="shared" si="132"/>
        <v>0</v>
      </c>
      <c r="P76" s="44">
        <v>1374</v>
      </c>
      <c r="Q76" s="44">
        <v>2096</v>
      </c>
      <c r="R76" s="44">
        <f t="shared" ref="R76:R88" si="141">S76+T76+U76+V76</f>
        <v>1257.6</v>
      </c>
      <c r="S76" s="44"/>
      <c r="T76" s="44">
        <f t="shared" ref="T76:T82" si="142">Q76*0.6</f>
        <v>1257.6</v>
      </c>
      <c r="U76" s="44"/>
      <c r="V76" s="44"/>
      <c r="W76" s="44">
        <f t="shared" ref="W76:W88" si="143">(J76/$J$9*0.2+P76/$P$9*0.05+R76/$R$9*0.05)*299423</f>
        <v>74.8871364029852</v>
      </c>
      <c r="X76" s="76">
        <v>18382</v>
      </c>
      <c r="Y76" s="115">
        <f t="shared" ref="Y76:Y88" si="144">IF(X76&lt;12842,(12842-X76)/(12842-$X$175),0)</f>
        <v>0</v>
      </c>
      <c r="Z76" s="44">
        <f t="shared" ref="Z76:Z88" si="145">(Y76/$Y$9*0.15)*299423</f>
        <v>0</v>
      </c>
      <c r="AA76" s="44"/>
      <c r="AB76" s="44"/>
      <c r="AC76" s="44"/>
      <c r="AD76" s="76"/>
      <c r="AE76" s="44">
        <f t="shared" ref="AE76:AE88" si="146">AD76/$AD$9*71500</f>
        <v>0</v>
      </c>
      <c r="AF76" s="44"/>
      <c r="AG76" s="44">
        <v>5</v>
      </c>
      <c r="AH76" s="44">
        <f>AG76/$AG$13*9347</f>
        <v>193.921161825726</v>
      </c>
      <c r="AI76" s="44"/>
      <c r="AJ76" s="115">
        <f>VLOOKUP(B:B,'表6资金使用成效（12月30日）'!B:L,11,0)</f>
        <v>0.986761495896193</v>
      </c>
      <c r="AK76" s="44">
        <f t="shared" ref="AK76:AK88" si="147">AJ76/$AJ$9*0.025*299423</f>
        <v>63.5687992090224</v>
      </c>
      <c r="AL76" s="76">
        <v>92.19</v>
      </c>
      <c r="AM76" s="44">
        <f t="shared" ref="AM76:AM88" si="148">(AL76/$AL$9)*0.025*299423</f>
        <v>61.2424430812238</v>
      </c>
      <c r="AN76" s="67">
        <f t="shared" ref="AN76:AN88" si="149">ROUND(AM76+AK76+AE76+AC76+Z76+W76+AI76+AF76,0)</f>
        <v>200</v>
      </c>
      <c r="AO76" s="67">
        <f t="shared" si="133"/>
        <v>-1059</v>
      </c>
      <c r="AP76" s="125">
        <f t="shared" si="125"/>
        <v>-0.841143764892772</v>
      </c>
      <c r="AQ76" s="44">
        <f t="shared" si="134"/>
        <v>-493.393285622015</v>
      </c>
      <c r="AR76" s="198">
        <f t="shared" si="126"/>
        <v>-0.711563402549265</v>
      </c>
      <c r="AZ76" s="5" t="s">
        <v>138</v>
      </c>
      <c r="BA76" s="5">
        <v>1214</v>
      </c>
    </row>
    <row r="77" ht="17" customHeight="1" spans="1:53">
      <c r="A77" s="31">
        <v>45</v>
      </c>
      <c r="B77" s="51" t="s">
        <v>124</v>
      </c>
      <c r="C77" s="31" t="s">
        <v>78</v>
      </c>
      <c r="D77" s="31"/>
      <c r="E77" s="31"/>
      <c r="F77" s="31"/>
      <c r="G77" s="189">
        <f t="shared" si="139"/>
        <v>3056</v>
      </c>
      <c r="H77" s="189">
        <f t="shared" si="140"/>
        <v>1683.08965914287</v>
      </c>
      <c r="I77" s="189">
        <v>22408</v>
      </c>
      <c r="J77" s="44">
        <f t="shared" si="127"/>
        <v>4481.6</v>
      </c>
      <c r="K77" s="44">
        <f t="shared" si="128"/>
        <v>4481.6</v>
      </c>
      <c r="L77" s="44">
        <f t="shared" si="129"/>
        <v>0</v>
      </c>
      <c r="M77" s="44">
        <f t="shared" si="130"/>
        <v>0</v>
      </c>
      <c r="N77" s="44">
        <f t="shared" si="131"/>
        <v>0</v>
      </c>
      <c r="O77" s="44">
        <f t="shared" si="132"/>
        <v>0</v>
      </c>
      <c r="P77" s="44">
        <v>1314</v>
      </c>
      <c r="Q77" s="44">
        <v>1046</v>
      </c>
      <c r="R77" s="44">
        <f t="shared" si="141"/>
        <v>627.6</v>
      </c>
      <c r="S77" s="44"/>
      <c r="T77" s="44">
        <f t="shared" si="142"/>
        <v>627.6</v>
      </c>
      <c r="U77" s="44"/>
      <c r="V77" s="44"/>
      <c r="W77" s="44">
        <f t="shared" si="143"/>
        <v>89.863603199145</v>
      </c>
      <c r="X77" s="76">
        <v>18229</v>
      </c>
      <c r="Y77" s="115">
        <f t="shared" si="144"/>
        <v>0</v>
      </c>
      <c r="Z77" s="44">
        <f t="shared" si="145"/>
        <v>0</v>
      </c>
      <c r="AA77" s="44"/>
      <c r="AB77" s="44"/>
      <c r="AC77" s="44"/>
      <c r="AD77" s="76"/>
      <c r="AE77" s="44">
        <f t="shared" si="146"/>
        <v>0</v>
      </c>
      <c r="AF77" s="44"/>
      <c r="AG77" s="44">
        <v>7</v>
      </c>
      <c r="AH77" s="44">
        <f>AG77/$AG$13*9347</f>
        <v>271.489626556017</v>
      </c>
      <c r="AI77" s="44"/>
      <c r="AJ77" s="115">
        <f>VLOOKUP(B:B,'表6资金使用成效（12月30日）'!B:L,11,0)</f>
        <v>1</v>
      </c>
      <c r="AK77" s="44">
        <f t="shared" si="147"/>
        <v>64.4216454263734</v>
      </c>
      <c r="AL77" s="76">
        <v>91.06</v>
      </c>
      <c r="AM77" s="44">
        <f t="shared" si="148"/>
        <v>60.4917764071617</v>
      </c>
      <c r="AN77" s="67">
        <f t="shared" si="149"/>
        <v>215</v>
      </c>
      <c r="AO77" s="67">
        <f t="shared" si="133"/>
        <v>-2841</v>
      </c>
      <c r="AP77" s="125">
        <f t="shared" si="125"/>
        <v>-0.929646596858639</v>
      </c>
      <c r="AQ77" s="44">
        <f t="shared" si="134"/>
        <v>-1468.08965914287</v>
      </c>
      <c r="AR77" s="198">
        <f t="shared" si="126"/>
        <v>-0.872258736287709</v>
      </c>
      <c r="AZ77" s="5" t="s">
        <v>139</v>
      </c>
      <c r="BA77" s="5">
        <v>870</v>
      </c>
    </row>
    <row r="78" ht="17" customHeight="1" spans="1:53">
      <c r="A78" s="31">
        <v>46</v>
      </c>
      <c r="B78" s="51" t="s">
        <v>125</v>
      </c>
      <c r="C78" s="31" t="s">
        <v>78</v>
      </c>
      <c r="D78" s="31"/>
      <c r="E78" s="31"/>
      <c r="F78" s="31"/>
      <c r="G78" s="189">
        <f t="shared" si="139"/>
        <v>4229</v>
      </c>
      <c r="H78" s="189">
        <f t="shared" si="140"/>
        <v>2329.11851063979</v>
      </c>
      <c r="I78" s="189">
        <v>58704</v>
      </c>
      <c r="J78" s="44">
        <f t="shared" si="127"/>
        <v>11740.8</v>
      </c>
      <c r="K78" s="44">
        <f t="shared" si="128"/>
        <v>11740.8</v>
      </c>
      <c r="L78" s="44">
        <f t="shared" si="129"/>
        <v>0</v>
      </c>
      <c r="M78" s="44">
        <f t="shared" si="130"/>
        <v>0</v>
      </c>
      <c r="N78" s="44">
        <f t="shared" si="131"/>
        <v>0</v>
      </c>
      <c r="O78" s="44">
        <f t="shared" si="132"/>
        <v>0</v>
      </c>
      <c r="P78" s="44">
        <v>3062</v>
      </c>
      <c r="Q78" s="44">
        <v>2836</v>
      </c>
      <c r="R78" s="44">
        <f t="shared" si="141"/>
        <v>1701.6</v>
      </c>
      <c r="S78" s="44"/>
      <c r="T78" s="44">
        <f t="shared" si="142"/>
        <v>1701.6</v>
      </c>
      <c r="U78" s="44"/>
      <c r="V78" s="44"/>
      <c r="W78" s="44">
        <f t="shared" si="143"/>
        <v>229.509480639563</v>
      </c>
      <c r="X78" s="76">
        <v>16559</v>
      </c>
      <c r="Y78" s="115">
        <f t="shared" si="144"/>
        <v>0</v>
      </c>
      <c r="Z78" s="44">
        <f t="shared" si="145"/>
        <v>0</v>
      </c>
      <c r="AA78" s="44"/>
      <c r="AB78" s="44"/>
      <c r="AC78" s="44"/>
      <c r="AD78" s="76"/>
      <c r="AE78" s="44">
        <f t="shared" si="146"/>
        <v>0</v>
      </c>
      <c r="AF78" s="44"/>
      <c r="AG78" s="44">
        <v>6</v>
      </c>
      <c r="AH78" s="44">
        <f>AG78/$AG$13*9347</f>
        <v>232.705394190871</v>
      </c>
      <c r="AI78" s="44"/>
      <c r="AJ78" s="115">
        <f>VLOOKUP(B:B,'表6资金使用成效（12月30日）'!B:L,11,0)</f>
        <v>0.990490687643634</v>
      </c>
      <c r="AK78" s="44">
        <f t="shared" si="147"/>
        <v>63.809039877503</v>
      </c>
      <c r="AL78" s="76">
        <v>90</v>
      </c>
      <c r="AM78" s="44">
        <f t="shared" si="148"/>
        <v>59.787611208484</v>
      </c>
      <c r="AN78" s="67">
        <f t="shared" si="149"/>
        <v>353</v>
      </c>
      <c r="AO78" s="67">
        <f t="shared" si="133"/>
        <v>-3876</v>
      </c>
      <c r="AP78" s="125">
        <f t="shared" si="125"/>
        <v>-0.916528730196264</v>
      </c>
      <c r="AQ78" s="44">
        <f t="shared" si="134"/>
        <v>-1976.11851063979</v>
      </c>
      <c r="AR78" s="198">
        <f t="shared" si="126"/>
        <v>-0.848440515848619</v>
      </c>
      <c r="AZ78" s="5" t="s">
        <v>140</v>
      </c>
      <c r="BA78" s="5">
        <v>1067</v>
      </c>
    </row>
    <row r="79" ht="17" customHeight="1" spans="1:53">
      <c r="A79" s="31">
        <v>47</v>
      </c>
      <c r="B79" s="51" t="s">
        <v>127</v>
      </c>
      <c r="C79" s="31" t="s">
        <v>78</v>
      </c>
      <c r="D79" s="31"/>
      <c r="E79" s="31"/>
      <c r="F79" s="31"/>
      <c r="G79" s="189">
        <f t="shared" si="139"/>
        <v>2670</v>
      </c>
      <c r="H79" s="189">
        <f t="shared" si="140"/>
        <v>1470.50045481396</v>
      </c>
      <c r="I79" s="189">
        <v>48521</v>
      </c>
      <c r="J79" s="44">
        <f t="shared" si="127"/>
        <v>9704.2</v>
      </c>
      <c r="K79" s="44">
        <f t="shared" si="128"/>
        <v>9704.2</v>
      </c>
      <c r="L79" s="44">
        <f t="shared" si="129"/>
        <v>0</v>
      </c>
      <c r="M79" s="44">
        <f t="shared" si="130"/>
        <v>0</v>
      </c>
      <c r="N79" s="44">
        <f t="shared" si="131"/>
        <v>0</v>
      </c>
      <c r="O79" s="44">
        <f t="shared" si="132"/>
        <v>0</v>
      </c>
      <c r="P79" s="44">
        <v>3699</v>
      </c>
      <c r="Q79" s="44">
        <v>1464</v>
      </c>
      <c r="R79" s="44">
        <f t="shared" si="141"/>
        <v>878.4</v>
      </c>
      <c r="S79" s="44"/>
      <c r="T79" s="44">
        <f t="shared" si="142"/>
        <v>878.4</v>
      </c>
      <c r="U79" s="44"/>
      <c r="V79" s="44"/>
      <c r="W79" s="44">
        <f t="shared" si="143"/>
        <v>202.200260645152</v>
      </c>
      <c r="X79" s="76">
        <v>16560</v>
      </c>
      <c r="Y79" s="115">
        <f t="shared" si="144"/>
        <v>0</v>
      </c>
      <c r="Z79" s="44">
        <f t="shared" si="145"/>
        <v>0</v>
      </c>
      <c r="AA79" s="44"/>
      <c r="AB79" s="44"/>
      <c r="AC79" s="44"/>
      <c r="AD79" s="76"/>
      <c r="AE79" s="44">
        <f t="shared" si="146"/>
        <v>0</v>
      </c>
      <c r="AF79" s="44"/>
      <c r="AG79" s="44">
        <v>6</v>
      </c>
      <c r="AH79" s="44">
        <f>AG79/$AG$13*9347</f>
        <v>232.705394190871</v>
      </c>
      <c r="AI79" s="44"/>
      <c r="AJ79" s="115">
        <f>VLOOKUP(B:B,'表6资金使用成效（12月30日）'!B:L,11,0)</f>
        <v>0.970509624415604</v>
      </c>
      <c r="AK79" s="44">
        <f t="shared" si="147"/>
        <v>62.5218269069849</v>
      </c>
      <c r="AL79" s="76">
        <v>95.69</v>
      </c>
      <c r="AM79" s="44">
        <f t="shared" si="148"/>
        <v>63.5675168504426</v>
      </c>
      <c r="AN79" s="67">
        <f t="shared" si="149"/>
        <v>328</v>
      </c>
      <c r="AO79" s="67">
        <f t="shared" si="133"/>
        <v>-2342</v>
      </c>
      <c r="AP79" s="125">
        <f t="shared" si="125"/>
        <v>-0.877153558052434</v>
      </c>
      <c r="AQ79" s="44">
        <f t="shared" si="134"/>
        <v>-1142.50045481396</v>
      </c>
      <c r="AR79" s="198">
        <f t="shared" si="126"/>
        <v>-0.776946685785625</v>
      </c>
      <c r="AZ79" s="5" t="s">
        <v>141</v>
      </c>
      <c r="BA79" s="5">
        <v>2861</v>
      </c>
    </row>
    <row r="80" ht="17" customHeight="1" spans="1:53">
      <c r="A80" s="31">
        <v>48</v>
      </c>
      <c r="B80" s="51" t="s">
        <v>128</v>
      </c>
      <c r="C80" s="31" t="s">
        <v>90</v>
      </c>
      <c r="D80" s="31">
        <v>2017</v>
      </c>
      <c r="E80" s="31"/>
      <c r="F80" s="31"/>
      <c r="G80" s="189">
        <f t="shared" si="139"/>
        <v>1029</v>
      </c>
      <c r="H80" s="189">
        <f t="shared" si="140"/>
        <v>566.720961799089</v>
      </c>
      <c r="I80" s="189">
        <v>33166</v>
      </c>
      <c r="J80" s="44">
        <f t="shared" si="127"/>
        <v>13266.4</v>
      </c>
      <c r="K80" s="44">
        <f t="shared" si="128"/>
        <v>0</v>
      </c>
      <c r="L80" s="44">
        <f t="shared" si="129"/>
        <v>13266.4</v>
      </c>
      <c r="M80" s="44">
        <f t="shared" si="130"/>
        <v>0</v>
      </c>
      <c r="N80" s="44">
        <f t="shared" si="131"/>
        <v>0</v>
      </c>
      <c r="O80" s="44">
        <f t="shared" si="132"/>
        <v>0</v>
      </c>
      <c r="P80" s="44">
        <v>2281</v>
      </c>
      <c r="Q80" s="44">
        <v>2719</v>
      </c>
      <c r="R80" s="44">
        <f t="shared" si="141"/>
        <v>1631.4</v>
      </c>
      <c r="S80" s="44"/>
      <c r="T80" s="44">
        <f t="shared" si="142"/>
        <v>1631.4</v>
      </c>
      <c r="U80" s="44"/>
      <c r="V80" s="44"/>
      <c r="W80" s="44">
        <f t="shared" si="143"/>
        <v>233.457450835796</v>
      </c>
      <c r="X80" s="76">
        <v>15137</v>
      </c>
      <c r="Y80" s="115">
        <f t="shared" si="144"/>
        <v>0</v>
      </c>
      <c r="Z80" s="44">
        <f t="shared" si="145"/>
        <v>0</v>
      </c>
      <c r="AA80" s="44"/>
      <c r="AB80" s="44"/>
      <c r="AC80" s="44"/>
      <c r="AD80" s="76"/>
      <c r="AE80" s="44">
        <f t="shared" si="146"/>
        <v>0</v>
      </c>
      <c r="AF80" s="44"/>
      <c r="AG80" s="44">
        <v>5</v>
      </c>
      <c r="AH80" s="44"/>
      <c r="AI80" s="44"/>
      <c r="AJ80" s="115">
        <f>VLOOKUP(B:B,'表6资金使用成效（12月30日）'!B:L,11,0)</f>
        <v>0.936722944248755</v>
      </c>
      <c r="AK80" s="44">
        <f t="shared" si="147"/>
        <v>60.3452333771419</v>
      </c>
      <c r="AL80" s="76">
        <v>92.98</v>
      </c>
      <c r="AM80" s="44">
        <f t="shared" si="148"/>
        <v>61.767245446276</v>
      </c>
      <c r="AN80" s="67">
        <f t="shared" si="149"/>
        <v>356</v>
      </c>
      <c r="AO80" s="67">
        <f t="shared" si="133"/>
        <v>-673</v>
      </c>
      <c r="AP80" s="125">
        <f t="shared" si="125"/>
        <v>-0.654033041788144</v>
      </c>
      <c r="AQ80" s="44">
        <f t="shared" si="134"/>
        <v>-210.720961799089</v>
      </c>
      <c r="AR80" s="198">
        <f t="shared" si="126"/>
        <v>-0.371824894442131</v>
      </c>
      <c r="AZ80" s="5" t="s">
        <v>142</v>
      </c>
      <c r="BA80" s="5">
        <v>2817</v>
      </c>
    </row>
    <row r="81" ht="17" customHeight="1" spans="1:53">
      <c r="A81" s="31">
        <v>49</v>
      </c>
      <c r="B81" s="51" t="s">
        <v>129</v>
      </c>
      <c r="C81" s="31" t="s">
        <v>78</v>
      </c>
      <c r="D81" s="31"/>
      <c r="E81" s="31"/>
      <c r="F81" s="31"/>
      <c r="G81" s="189">
        <f t="shared" si="139"/>
        <v>2076</v>
      </c>
      <c r="H81" s="189">
        <f t="shared" si="140"/>
        <v>1143.35540981041</v>
      </c>
      <c r="I81" s="189">
        <v>42543</v>
      </c>
      <c r="J81" s="44">
        <f t="shared" si="127"/>
        <v>8508.6</v>
      </c>
      <c r="K81" s="44">
        <f t="shared" si="128"/>
        <v>8508.6</v>
      </c>
      <c r="L81" s="44">
        <f t="shared" si="129"/>
        <v>0</v>
      </c>
      <c r="M81" s="44">
        <f t="shared" si="130"/>
        <v>0</v>
      </c>
      <c r="N81" s="44">
        <f t="shared" si="131"/>
        <v>0</v>
      </c>
      <c r="O81" s="44">
        <f t="shared" si="132"/>
        <v>0</v>
      </c>
      <c r="P81" s="44">
        <v>5322</v>
      </c>
      <c r="Q81" s="44">
        <v>2092</v>
      </c>
      <c r="R81" s="44">
        <f t="shared" si="141"/>
        <v>1255.2</v>
      </c>
      <c r="S81" s="44"/>
      <c r="T81" s="44">
        <f t="shared" si="142"/>
        <v>1255.2</v>
      </c>
      <c r="U81" s="44"/>
      <c r="V81" s="44"/>
      <c r="W81" s="44">
        <f t="shared" si="143"/>
        <v>222.452537078639</v>
      </c>
      <c r="X81" s="76">
        <v>16061</v>
      </c>
      <c r="Y81" s="115">
        <f t="shared" si="144"/>
        <v>0</v>
      </c>
      <c r="Z81" s="44">
        <f t="shared" si="145"/>
        <v>0</v>
      </c>
      <c r="AA81" s="44"/>
      <c r="AB81" s="44"/>
      <c r="AC81" s="44"/>
      <c r="AD81" s="76"/>
      <c r="AE81" s="44">
        <f t="shared" si="146"/>
        <v>0</v>
      </c>
      <c r="AF81" s="44"/>
      <c r="AG81" s="44">
        <v>5</v>
      </c>
      <c r="AH81" s="44">
        <f>AG81/$AG$13*9347</f>
        <v>193.921161825726</v>
      </c>
      <c r="AI81" s="44"/>
      <c r="AJ81" s="115">
        <f>VLOOKUP(B:B,'表6资金使用成效（12月30日）'!B:L,11,0)</f>
        <v>0.992478035212073</v>
      </c>
      <c r="AK81" s="44">
        <f t="shared" si="147"/>
        <v>63.9370680778959</v>
      </c>
      <c r="AL81" s="76">
        <v>98.74</v>
      </c>
      <c r="AM81" s="44">
        <f t="shared" si="148"/>
        <v>65.593652563619</v>
      </c>
      <c r="AN81" s="67">
        <f t="shared" si="149"/>
        <v>352</v>
      </c>
      <c r="AO81" s="67">
        <f t="shared" si="133"/>
        <v>-1724</v>
      </c>
      <c r="AP81" s="125">
        <f t="shared" si="125"/>
        <v>-0.830443159922929</v>
      </c>
      <c r="AQ81" s="44">
        <f t="shared" si="134"/>
        <v>-791.35540981041</v>
      </c>
      <c r="AR81" s="198">
        <f t="shared" si="126"/>
        <v>-0.69213422442426</v>
      </c>
      <c r="AZ81" s="5" t="s">
        <v>143</v>
      </c>
      <c r="BA81" s="5">
        <v>1047</v>
      </c>
    </row>
    <row r="82" ht="17" customHeight="1" spans="1:53">
      <c r="A82" s="31">
        <v>50</v>
      </c>
      <c r="B82" s="51" t="s">
        <v>130</v>
      </c>
      <c r="C82" s="31" t="s">
        <v>90</v>
      </c>
      <c r="D82" s="31">
        <v>2018</v>
      </c>
      <c r="E82" s="31"/>
      <c r="F82" s="31"/>
      <c r="G82" s="189">
        <f t="shared" si="139"/>
        <v>1136</v>
      </c>
      <c r="H82" s="189">
        <f t="shared" si="140"/>
        <v>625.65112983845</v>
      </c>
      <c r="I82" s="189">
        <v>48392</v>
      </c>
      <c r="J82" s="44">
        <f t="shared" si="127"/>
        <v>29035.2</v>
      </c>
      <c r="K82" s="44">
        <f t="shared" si="128"/>
        <v>0</v>
      </c>
      <c r="L82" s="44">
        <f t="shared" si="129"/>
        <v>0</v>
      </c>
      <c r="M82" s="44">
        <f t="shared" si="130"/>
        <v>29035.2</v>
      </c>
      <c r="N82" s="44">
        <f t="shared" si="131"/>
        <v>0</v>
      </c>
      <c r="O82" s="44">
        <f t="shared" si="132"/>
        <v>0</v>
      </c>
      <c r="P82" s="44">
        <v>5761</v>
      </c>
      <c r="Q82" s="44">
        <v>2929</v>
      </c>
      <c r="R82" s="44">
        <f t="shared" si="141"/>
        <v>1757.4</v>
      </c>
      <c r="S82" s="44"/>
      <c r="T82" s="44">
        <f t="shared" si="142"/>
        <v>1757.4</v>
      </c>
      <c r="U82" s="44"/>
      <c r="V82" s="44"/>
      <c r="W82" s="44">
        <f t="shared" si="143"/>
        <v>495.603737680582</v>
      </c>
      <c r="X82" s="76">
        <v>14825</v>
      </c>
      <c r="Y82" s="115">
        <f t="shared" si="144"/>
        <v>0</v>
      </c>
      <c r="Z82" s="44">
        <f t="shared" si="145"/>
        <v>0</v>
      </c>
      <c r="AA82" s="44"/>
      <c r="AB82" s="44"/>
      <c r="AC82" s="44"/>
      <c r="AD82" s="76"/>
      <c r="AE82" s="44">
        <f t="shared" si="146"/>
        <v>0</v>
      </c>
      <c r="AF82" s="44"/>
      <c r="AG82" s="44">
        <v>5</v>
      </c>
      <c r="AH82" s="44"/>
      <c r="AI82" s="44"/>
      <c r="AJ82" s="115">
        <f>VLOOKUP(B:B,'表6资金使用成效（12月30日）'!B:L,11,0)</f>
        <v>0.437695179532228</v>
      </c>
      <c r="AK82" s="44">
        <f t="shared" si="147"/>
        <v>28.1970436606581</v>
      </c>
      <c r="AL82" s="76">
        <v>90.17</v>
      </c>
      <c r="AM82" s="44">
        <f t="shared" si="148"/>
        <v>59.9005433629889</v>
      </c>
      <c r="AN82" s="67">
        <f t="shared" si="149"/>
        <v>584</v>
      </c>
      <c r="AO82" s="67">
        <f t="shared" si="133"/>
        <v>-552</v>
      </c>
      <c r="AP82" s="125">
        <f t="shared" si="125"/>
        <v>-0.485915492957746</v>
      </c>
      <c r="AQ82" s="44">
        <f t="shared" si="134"/>
        <v>-41.6511298384499</v>
      </c>
      <c r="AR82" s="198">
        <f t="shared" si="126"/>
        <v>-0.0665724520456068</v>
      </c>
      <c r="AZ82" s="5" t="s">
        <v>144</v>
      </c>
      <c r="BA82" s="5">
        <v>13131</v>
      </c>
    </row>
    <row r="83" ht="17" customHeight="1" spans="1:53">
      <c r="A83" s="31">
        <v>51</v>
      </c>
      <c r="B83" s="51" t="s">
        <v>126</v>
      </c>
      <c r="C83" s="31" t="s">
        <v>90</v>
      </c>
      <c r="D83" s="31">
        <v>2020</v>
      </c>
      <c r="E83" s="31" t="s">
        <v>91</v>
      </c>
      <c r="F83" s="31"/>
      <c r="G83" s="189">
        <f t="shared" si="139"/>
        <v>6816</v>
      </c>
      <c r="H83" s="189">
        <f t="shared" si="140"/>
        <v>3753.9067790307</v>
      </c>
      <c r="I83" s="189">
        <v>70275</v>
      </c>
      <c r="J83" s="44">
        <f t="shared" si="127"/>
        <v>70275</v>
      </c>
      <c r="K83" s="44">
        <f t="shared" si="128"/>
        <v>0</v>
      </c>
      <c r="L83" s="44">
        <f t="shared" si="129"/>
        <v>0</v>
      </c>
      <c r="M83" s="44">
        <f t="shared" si="130"/>
        <v>0</v>
      </c>
      <c r="N83" s="44">
        <f t="shared" si="131"/>
        <v>0</v>
      </c>
      <c r="O83" s="44">
        <f t="shared" si="132"/>
        <v>70275</v>
      </c>
      <c r="P83" s="44">
        <v>3906</v>
      </c>
      <c r="Q83" s="44">
        <v>10471</v>
      </c>
      <c r="R83" s="44">
        <f t="shared" si="141"/>
        <v>10471</v>
      </c>
      <c r="S83" s="44"/>
      <c r="T83" s="44"/>
      <c r="U83" s="44"/>
      <c r="V83" s="44">
        <f t="shared" ref="V83:V88" si="150">Q83*1</f>
        <v>10471</v>
      </c>
      <c r="W83" s="44">
        <f t="shared" si="143"/>
        <v>1119.12669843714</v>
      </c>
      <c r="X83" s="76">
        <v>10474</v>
      </c>
      <c r="Y83" s="115">
        <f t="shared" si="144"/>
        <v>0.4480605487228</v>
      </c>
      <c r="Z83" s="44">
        <f t="shared" si="145"/>
        <v>1114.48233888714</v>
      </c>
      <c r="AA83" s="44"/>
      <c r="AB83" s="44"/>
      <c r="AC83" s="44"/>
      <c r="AD83" s="76">
        <f t="shared" ref="AD83:AD88" si="151">J83</f>
        <v>70275</v>
      </c>
      <c r="AE83" s="44">
        <f>H83-W83-Z83-AC83-AK83-AM83</f>
        <v>1408.9837120632</v>
      </c>
      <c r="AF83" s="44"/>
      <c r="AG83" s="44">
        <v>5</v>
      </c>
      <c r="AH83" s="44"/>
      <c r="AI83" s="44"/>
      <c r="AJ83" s="115">
        <f>VLOOKUP(B:B,'表6资金使用成效（12月30日）'!B:L,11,0)</f>
        <v>0.877994710282832</v>
      </c>
      <c r="AK83" s="44">
        <f t="shared" si="147"/>
        <v>56.5618639120721</v>
      </c>
      <c r="AL83" s="76">
        <v>82.42</v>
      </c>
      <c r="AM83" s="44">
        <f t="shared" si="148"/>
        <v>54.7521657311473</v>
      </c>
      <c r="AN83" s="67">
        <f t="shared" si="149"/>
        <v>3754</v>
      </c>
      <c r="AO83" s="67">
        <f t="shared" si="133"/>
        <v>-3062</v>
      </c>
      <c r="AP83" s="125">
        <f t="shared" si="125"/>
        <v>-0.449237089201878</v>
      </c>
      <c r="AQ83" s="44">
        <f t="shared" si="134"/>
        <v>0.0932209693000914</v>
      </c>
      <c r="AR83" s="198">
        <f t="shared" si="126"/>
        <v>2.48330538789144e-5</v>
      </c>
      <c r="AZ83" s="5" t="s">
        <v>145</v>
      </c>
      <c r="BA83" s="5">
        <v>1896</v>
      </c>
    </row>
    <row r="84" ht="17" customHeight="1" spans="1:53">
      <c r="A84" s="31">
        <v>52</v>
      </c>
      <c r="B84" s="51" t="s">
        <v>135</v>
      </c>
      <c r="C84" s="31" t="s">
        <v>78</v>
      </c>
      <c r="D84" s="31"/>
      <c r="E84" s="31"/>
      <c r="F84" s="31" t="s">
        <v>146</v>
      </c>
      <c r="G84" s="189">
        <f t="shared" si="139"/>
        <v>4325</v>
      </c>
      <c r="H84" s="189">
        <f t="shared" si="140"/>
        <v>2381.99043710501</v>
      </c>
      <c r="I84" s="189">
        <v>13183</v>
      </c>
      <c r="J84" s="44">
        <f t="shared" si="127"/>
        <v>2636.6</v>
      </c>
      <c r="K84" s="44">
        <f t="shared" si="128"/>
        <v>2636.6</v>
      </c>
      <c r="L84" s="44">
        <f t="shared" si="129"/>
        <v>0</v>
      </c>
      <c r="M84" s="44">
        <f t="shared" si="130"/>
        <v>0</v>
      </c>
      <c r="N84" s="44">
        <f t="shared" si="131"/>
        <v>0</v>
      </c>
      <c r="O84" s="44">
        <f t="shared" si="132"/>
        <v>0</v>
      </c>
      <c r="P84" s="44">
        <v>1561</v>
      </c>
      <c r="Q84" s="44">
        <v>3775</v>
      </c>
      <c r="R84" s="44">
        <f t="shared" si="141"/>
        <v>3020</v>
      </c>
      <c r="S84" s="44"/>
      <c r="T84" s="44"/>
      <c r="U84" s="44">
        <f>Q84*0.8</f>
        <v>3020</v>
      </c>
      <c r="V84" s="44"/>
      <c r="W84" s="44">
        <f t="shared" si="143"/>
        <v>109.669097758759</v>
      </c>
      <c r="X84" s="76">
        <v>14973</v>
      </c>
      <c r="Y84" s="115">
        <f t="shared" si="144"/>
        <v>0</v>
      </c>
      <c r="Z84" s="44">
        <f t="shared" si="145"/>
        <v>0</v>
      </c>
      <c r="AA84" s="44">
        <v>15</v>
      </c>
      <c r="AB84" s="44">
        <f>VLOOKUP(B:B,小康村到县资金!C:I,7,0)</f>
        <v>11120.6176470588</v>
      </c>
      <c r="AC84" s="44">
        <v>11120.6176470588</v>
      </c>
      <c r="AD84" s="76"/>
      <c r="AE84" s="44">
        <f t="shared" si="146"/>
        <v>0</v>
      </c>
      <c r="AF84" s="44"/>
      <c r="AG84" s="44"/>
      <c r="AH84" s="44">
        <f>AG84/$AG$13*9347</f>
        <v>0</v>
      </c>
      <c r="AI84" s="44"/>
      <c r="AJ84" s="115">
        <f>VLOOKUP(B:B,'表6资金使用成效（12月30日）'!B:L,11,0)</f>
        <v>0.985994675354572</v>
      </c>
      <c r="AK84" s="44">
        <f t="shared" si="147"/>
        <v>63.5193993679844</v>
      </c>
      <c r="AL84" s="76">
        <v>90.25</v>
      </c>
      <c r="AM84" s="44">
        <f t="shared" si="148"/>
        <v>59.9536879062854</v>
      </c>
      <c r="AN84" s="67">
        <f t="shared" si="149"/>
        <v>11354</v>
      </c>
      <c r="AO84" s="67">
        <f t="shared" si="133"/>
        <v>7029</v>
      </c>
      <c r="AP84" s="125">
        <f t="shared" si="125"/>
        <v>1.62520231213873</v>
      </c>
      <c r="AQ84" s="44">
        <f t="shared" si="134"/>
        <v>8972.00956289499</v>
      </c>
      <c r="AR84" s="198">
        <f t="shared" si="126"/>
        <v>3.76660183984587</v>
      </c>
      <c r="AZ84" s="5" t="s">
        <v>147</v>
      </c>
      <c r="BA84" s="5">
        <v>30824</v>
      </c>
    </row>
    <row r="85" ht="17" customHeight="1" spans="1:53">
      <c r="A85" s="31">
        <v>53</v>
      </c>
      <c r="B85" s="51" t="s">
        <v>133</v>
      </c>
      <c r="C85" s="31" t="s">
        <v>93</v>
      </c>
      <c r="D85" s="31">
        <v>2019</v>
      </c>
      <c r="E85" s="31" t="s">
        <v>94</v>
      </c>
      <c r="F85" s="31" t="s">
        <v>146</v>
      </c>
      <c r="G85" s="189">
        <f t="shared" si="139"/>
        <v>3632</v>
      </c>
      <c r="H85" s="189">
        <f t="shared" si="140"/>
        <v>2000.3212179342</v>
      </c>
      <c r="I85" s="189">
        <v>111848</v>
      </c>
      <c r="J85" s="44">
        <f t="shared" si="127"/>
        <v>89478.4</v>
      </c>
      <c r="K85" s="44">
        <f t="shared" si="128"/>
        <v>0</v>
      </c>
      <c r="L85" s="44">
        <f t="shared" si="129"/>
        <v>0</v>
      </c>
      <c r="M85" s="44">
        <f t="shared" si="130"/>
        <v>0</v>
      </c>
      <c r="N85" s="44">
        <f t="shared" si="131"/>
        <v>89478.4</v>
      </c>
      <c r="O85" s="44">
        <f t="shared" si="132"/>
        <v>0</v>
      </c>
      <c r="P85" s="44">
        <v>13682</v>
      </c>
      <c r="Q85" s="44">
        <v>12127</v>
      </c>
      <c r="R85" s="44">
        <f t="shared" si="141"/>
        <v>12127</v>
      </c>
      <c r="S85" s="44"/>
      <c r="T85" s="44"/>
      <c r="U85" s="44"/>
      <c r="V85" s="44">
        <f t="shared" si="150"/>
        <v>12127</v>
      </c>
      <c r="W85" s="44">
        <f t="shared" si="143"/>
        <v>1562.07876558801</v>
      </c>
      <c r="X85" s="76">
        <v>10311</v>
      </c>
      <c r="Y85" s="115">
        <f t="shared" si="144"/>
        <v>0.478902554399243</v>
      </c>
      <c r="Z85" s="44">
        <f t="shared" si="145"/>
        <v>1191.19712826155</v>
      </c>
      <c r="AA85" s="44">
        <v>27</v>
      </c>
      <c r="AB85" s="44">
        <f>VLOOKUP(B:B,小康村到县资金!C:I,7,0)</f>
        <v>1235.91176470588</v>
      </c>
      <c r="AC85" s="44">
        <v>1235.91176470588</v>
      </c>
      <c r="AD85" s="76">
        <f t="shared" si="151"/>
        <v>89478.4</v>
      </c>
      <c r="AE85" s="44"/>
      <c r="AF85" s="44"/>
      <c r="AG85" s="44"/>
      <c r="AH85" s="44"/>
      <c r="AI85" s="44"/>
      <c r="AJ85" s="115">
        <f>VLOOKUP(B:B,'表6资金使用成效（12月30日）'!B:L,11,0)</f>
        <v>0.912641358642669</v>
      </c>
      <c r="AK85" s="44">
        <f t="shared" si="147"/>
        <v>58.7938580079217</v>
      </c>
      <c r="AL85" s="76">
        <v>83.66</v>
      </c>
      <c r="AM85" s="44">
        <f t="shared" si="148"/>
        <v>55.5759061522419</v>
      </c>
      <c r="AN85" s="67">
        <f t="shared" si="149"/>
        <v>4104</v>
      </c>
      <c r="AO85" s="67">
        <f t="shared" si="133"/>
        <v>472</v>
      </c>
      <c r="AP85" s="125">
        <f t="shared" si="125"/>
        <v>0.129955947136564</v>
      </c>
      <c r="AQ85" s="44">
        <f t="shared" si="134"/>
        <v>2103.6787820658</v>
      </c>
      <c r="AR85" s="198">
        <f t="shared" si="126"/>
        <v>1.05167048332284</v>
      </c>
      <c r="AZ85" s="5" t="s">
        <v>148</v>
      </c>
      <c r="BA85" s="5">
        <v>0</v>
      </c>
    </row>
    <row r="86" ht="17" customHeight="1" spans="1:53">
      <c r="A86" s="31">
        <v>54</v>
      </c>
      <c r="B86" s="51" t="s">
        <v>131</v>
      </c>
      <c r="C86" s="31" t="s">
        <v>93</v>
      </c>
      <c r="D86" s="31">
        <v>2019</v>
      </c>
      <c r="E86" s="31" t="s">
        <v>94</v>
      </c>
      <c r="F86" s="31"/>
      <c r="G86" s="189">
        <f t="shared" si="139"/>
        <v>4975</v>
      </c>
      <c r="H86" s="189">
        <f t="shared" si="140"/>
        <v>2739.97743921328</v>
      </c>
      <c r="I86" s="189">
        <v>154382</v>
      </c>
      <c r="J86" s="44">
        <f t="shared" si="127"/>
        <v>123505.6</v>
      </c>
      <c r="K86" s="44">
        <f t="shared" si="128"/>
        <v>0</v>
      </c>
      <c r="L86" s="44">
        <f t="shared" si="129"/>
        <v>0</v>
      </c>
      <c r="M86" s="44">
        <f t="shared" si="130"/>
        <v>0</v>
      </c>
      <c r="N86" s="44">
        <f t="shared" si="131"/>
        <v>123505.6</v>
      </c>
      <c r="O86" s="44">
        <f t="shared" si="132"/>
        <v>0</v>
      </c>
      <c r="P86" s="44">
        <v>12988</v>
      </c>
      <c r="Q86" s="44">
        <v>10660</v>
      </c>
      <c r="R86" s="44">
        <f t="shared" si="141"/>
        <v>10660</v>
      </c>
      <c r="S86" s="44"/>
      <c r="T86" s="44"/>
      <c r="U86" s="44"/>
      <c r="V86" s="44">
        <f t="shared" si="150"/>
        <v>10660</v>
      </c>
      <c r="W86" s="44">
        <f t="shared" si="143"/>
        <v>1952.34289679504</v>
      </c>
      <c r="X86" s="76">
        <v>10251</v>
      </c>
      <c r="Y86" s="115">
        <f t="shared" si="144"/>
        <v>0.490255439924314</v>
      </c>
      <c r="Z86" s="44">
        <f t="shared" si="145"/>
        <v>1219.43570103741</v>
      </c>
      <c r="AA86" s="44"/>
      <c r="AB86" s="44"/>
      <c r="AC86" s="44"/>
      <c r="AD86" s="76">
        <f t="shared" si="151"/>
        <v>123505.6</v>
      </c>
      <c r="AE86" s="44"/>
      <c r="AF86" s="44"/>
      <c r="AG86" s="44">
        <v>6</v>
      </c>
      <c r="AH86" s="44"/>
      <c r="AI86" s="44"/>
      <c r="AJ86" s="115">
        <f>VLOOKUP(B:B,'表6资金使用成效（12月30日）'!B:L,11,0)</f>
        <v>0.904080640077023</v>
      </c>
      <c r="AK86" s="44">
        <f t="shared" si="147"/>
        <v>58.2423624318907</v>
      </c>
      <c r="AL86" s="76">
        <v>93.39</v>
      </c>
      <c r="AM86" s="44">
        <f t="shared" si="148"/>
        <v>62.0396112306702</v>
      </c>
      <c r="AN86" s="67">
        <f t="shared" si="149"/>
        <v>3292</v>
      </c>
      <c r="AO86" s="67">
        <f t="shared" si="133"/>
        <v>-1683</v>
      </c>
      <c r="AP86" s="125">
        <f t="shared" si="125"/>
        <v>-0.338291457286432</v>
      </c>
      <c r="AQ86" s="44">
        <f t="shared" si="134"/>
        <v>552.02256078672</v>
      </c>
      <c r="AR86" s="198">
        <f t="shared" si="126"/>
        <v>0.201469746752813</v>
      </c>
      <c r="AZ86" s="5" t="s">
        <v>149</v>
      </c>
      <c r="BA86" s="5">
        <v>2570</v>
      </c>
    </row>
    <row r="87" ht="17" customHeight="1" spans="1:53">
      <c r="A87" s="31">
        <v>55</v>
      </c>
      <c r="B87" s="51" t="s">
        <v>132</v>
      </c>
      <c r="C87" s="31" t="s">
        <v>93</v>
      </c>
      <c r="D87" s="31">
        <v>2019</v>
      </c>
      <c r="E87" s="31" t="s">
        <v>94</v>
      </c>
      <c r="F87" s="31"/>
      <c r="G87" s="189">
        <f t="shared" si="139"/>
        <v>4588</v>
      </c>
      <c r="H87" s="189">
        <f t="shared" si="140"/>
        <v>2526.83748565036</v>
      </c>
      <c r="I87" s="189">
        <v>105952</v>
      </c>
      <c r="J87" s="44">
        <f t="shared" si="127"/>
        <v>84761.6</v>
      </c>
      <c r="K87" s="44">
        <f t="shared" si="128"/>
        <v>0</v>
      </c>
      <c r="L87" s="44">
        <f t="shared" si="129"/>
        <v>0</v>
      </c>
      <c r="M87" s="44">
        <f t="shared" si="130"/>
        <v>0</v>
      </c>
      <c r="N87" s="44">
        <f t="shared" si="131"/>
        <v>84761.6</v>
      </c>
      <c r="O87" s="44">
        <f t="shared" si="132"/>
        <v>0</v>
      </c>
      <c r="P87" s="44">
        <v>10335</v>
      </c>
      <c r="Q87" s="44">
        <v>12905</v>
      </c>
      <c r="R87" s="44">
        <f t="shared" si="141"/>
        <v>12905</v>
      </c>
      <c r="S87" s="44"/>
      <c r="T87" s="44"/>
      <c r="U87" s="44"/>
      <c r="V87" s="44">
        <f t="shared" si="150"/>
        <v>12905</v>
      </c>
      <c r="W87" s="44">
        <f t="shared" si="143"/>
        <v>1455.3372515718</v>
      </c>
      <c r="X87" s="76">
        <v>10430</v>
      </c>
      <c r="Y87" s="115">
        <f t="shared" si="144"/>
        <v>0.456385998107852</v>
      </c>
      <c r="Z87" s="44">
        <f t="shared" si="145"/>
        <v>1135.19062558944</v>
      </c>
      <c r="AA87" s="44"/>
      <c r="AB87" s="44"/>
      <c r="AC87" s="44"/>
      <c r="AD87" s="76">
        <f t="shared" si="151"/>
        <v>84761.6</v>
      </c>
      <c r="AE87" s="44"/>
      <c r="AF87" s="44"/>
      <c r="AG87" s="44">
        <v>5</v>
      </c>
      <c r="AH87" s="44"/>
      <c r="AI87" s="44"/>
      <c r="AJ87" s="115">
        <f>VLOOKUP(B:B,'表6资金使用成效（12月30日）'!B:L,11,0)</f>
        <v>0.833953313512971</v>
      </c>
      <c r="AK87" s="44">
        <f t="shared" si="147"/>
        <v>53.7246446652819</v>
      </c>
      <c r="AL87" s="76">
        <v>91.59</v>
      </c>
      <c r="AM87" s="44">
        <f t="shared" si="148"/>
        <v>60.8438590065006</v>
      </c>
      <c r="AN87" s="67">
        <f t="shared" si="149"/>
        <v>2705</v>
      </c>
      <c r="AO87" s="67">
        <f t="shared" si="133"/>
        <v>-1883</v>
      </c>
      <c r="AP87" s="125">
        <f t="shared" si="125"/>
        <v>-0.410418482999128</v>
      </c>
      <c r="AQ87" s="44">
        <f t="shared" si="134"/>
        <v>178.16251434964</v>
      </c>
      <c r="AR87" s="198">
        <f t="shared" si="126"/>
        <v>0.0705081016731016</v>
      </c>
      <c r="AZ87" s="5" t="s">
        <v>150</v>
      </c>
      <c r="BA87" s="5">
        <v>513</v>
      </c>
    </row>
    <row r="88" ht="17" customHeight="1" spans="1:53">
      <c r="A88" s="31">
        <v>56</v>
      </c>
      <c r="B88" s="51" t="s">
        <v>134</v>
      </c>
      <c r="C88" s="31" t="s">
        <v>93</v>
      </c>
      <c r="D88" s="31">
        <v>2019</v>
      </c>
      <c r="E88" s="31" t="s">
        <v>94</v>
      </c>
      <c r="F88" s="31" t="s">
        <v>146</v>
      </c>
      <c r="G88" s="189">
        <f t="shared" si="139"/>
        <v>5593</v>
      </c>
      <c r="H88" s="189">
        <f t="shared" si="140"/>
        <v>3080.34046583314</v>
      </c>
      <c r="I88" s="189">
        <v>97676</v>
      </c>
      <c r="J88" s="44">
        <f t="shared" si="127"/>
        <v>78140.8</v>
      </c>
      <c r="K88" s="44">
        <f t="shared" si="128"/>
        <v>0</v>
      </c>
      <c r="L88" s="44">
        <f t="shared" si="129"/>
        <v>0</v>
      </c>
      <c r="M88" s="44">
        <f t="shared" si="130"/>
        <v>0</v>
      </c>
      <c r="N88" s="44">
        <f t="shared" si="131"/>
        <v>78140.8</v>
      </c>
      <c r="O88" s="44">
        <f t="shared" si="132"/>
        <v>0</v>
      </c>
      <c r="P88" s="44">
        <v>7457</v>
      </c>
      <c r="Q88" s="44">
        <v>10686</v>
      </c>
      <c r="R88" s="44">
        <f t="shared" si="141"/>
        <v>10686</v>
      </c>
      <c r="S88" s="44"/>
      <c r="T88" s="44"/>
      <c r="U88" s="44"/>
      <c r="V88" s="44">
        <f t="shared" si="150"/>
        <v>10686</v>
      </c>
      <c r="W88" s="44">
        <f t="shared" si="143"/>
        <v>1284.96211618744</v>
      </c>
      <c r="X88" s="76">
        <v>10266</v>
      </c>
      <c r="Y88" s="115">
        <f t="shared" si="144"/>
        <v>0.487417218543046</v>
      </c>
      <c r="Z88" s="44">
        <f t="shared" si="145"/>
        <v>1212.37605784344</v>
      </c>
      <c r="AA88" s="44">
        <v>7</v>
      </c>
      <c r="AB88" s="44"/>
      <c r="AC88" s="44"/>
      <c r="AD88" s="76">
        <f t="shared" si="151"/>
        <v>78140.8</v>
      </c>
      <c r="AE88" s="44">
        <f>H88-W88-Z88-AC88-AK88-AM88</f>
        <v>466.54773282576</v>
      </c>
      <c r="AF88" s="44"/>
      <c r="AG88" s="44"/>
      <c r="AH88" s="44"/>
      <c r="AI88" s="44"/>
      <c r="AJ88" s="115">
        <f>VLOOKUP(B:B,'表6资金使用成效（12月30日）'!B:L,11,0)</f>
        <v>0.870551464815503</v>
      </c>
      <c r="AK88" s="44">
        <f t="shared" si="147"/>
        <v>56.0823577917544</v>
      </c>
      <c r="AL88" s="76">
        <v>90.88</v>
      </c>
      <c r="AM88" s="44">
        <f t="shared" si="148"/>
        <v>60.3722011847447</v>
      </c>
      <c r="AN88" s="67">
        <f t="shared" si="149"/>
        <v>3080</v>
      </c>
      <c r="AO88" s="67">
        <f t="shared" si="133"/>
        <v>-2513</v>
      </c>
      <c r="AP88" s="125">
        <f t="shared" si="125"/>
        <v>-0.449311639549437</v>
      </c>
      <c r="AQ88" s="44">
        <f t="shared" si="134"/>
        <v>-0.340465833140115</v>
      </c>
      <c r="AR88" s="198">
        <f t="shared" si="126"/>
        <v>-0.000110528636985597</v>
      </c>
      <c r="AZ88" s="5" t="s">
        <v>151</v>
      </c>
      <c r="BA88" s="5">
        <v>3202</v>
      </c>
    </row>
    <row r="89" s="6" customFormat="1" ht="17" customHeight="1" spans="1:75">
      <c r="A89" s="39"/>
      <c r="B89" s="40" t="s">
        <v>136</v>
      </c>
      <c r="C89" s="41">
        <v>1</v>
      </c>
      <c r="D89" s="41"/>
      <c r="E89" s="41"/>
      <c r="F89" s="41"/>
      <c r="G89" s="119">
        <f>G90+G91</f>
        <v>24903</v>
      </c>
      <c r="H89" s="119">
        <f>H90+H91</f>
        <v>13715.3081746188</v>
      </c>
      <c r="I89" s="119">
        <f t="shared" ref="I89:O89" si="152">I90+I91</f>
        <v>573982</v>
      </c>
      <c r="J89" s="43">
        <f t="shared" si="152"/>
        <v>469160.6</v>
      </c>
      <c r="K89" s="43">
        <f t="shared" si="152"/>
        <v>0</v>
      </c>
      <c r="L89" s="43">
        <f t="shared" si="152"/>
        <v>0</v>
      </c>
      <c r="M89" s="43">
        <f t="shared" si="152"/>
        <v>54529.8</v>
      </c>
      <c r="N89" s="43">
        <f t="shared" si="152"/>
        <v>273872.8</v>
      </c>
      <c r="O89" s="43">
        <f t="shared" si="152"/>
        <v>140758</v>
      </c>
      <c r="P89" s="43">
        <v>68675</v>
      </c>
      <c r="Q89" s="43">
        <f t="shared" ref="Q89:W89" si="153">Q90+Q91</f>
        <v>37005</v>
      </c>
      <c r="R89" s="43">
        <f t="shared" si="153"/>
        <v>29105.8</v>
      </c>
      <c r="S89" s="43">
        <f t="shared" si="153"/>
        <v>0</v>
      </c>
      <c r="T89" s="43">
        <f t="shared" si="153"/>
        <v>1494.6</v>
      </c>
      <c r="U89" s="43">
        <f t="shared" si="153"/>
        <v>27611.2</v>
      </c>
      <c r="V89" s="43">
        <f t="shared" si="153"/>
        <v>0</v>
      </c>
      <c r="W89" s="43">
        <f t="shared" si="153"/>
        <v>7580.74463572516</v>
      </c>
      <c r="X89" s="77"/>
      <c r="Y89" s="118">
        <f t="shared" ref="Y89:AI89" si="154">Y90+Y91</f>
        <v>1.03122043519395</v>
      </c>
      <c r="Z89" s="43">
        <f t="shared" si="154"/>
        <v>2565.00369380698</v>
      </c>
      <c r="AA89" s="43">
        <v>42</v>
      </c>
      <c r="AB89" s="43">
        <f t="shared" si="154"/>
        <v>5697.14705882353</v>
      </c>
      <c r="AC89" s="43">
        <f t="shared" si="154"/>
        <v>5697.14705882353</v>
      </c>
      <c r="AD89" s="54">
        <f t="shared" si="154"/>
        <v>389059.4</v>
      </c>
      <c r="AE89" s="43">
        <f t="shared" si="154"/>
        <v>4180.2846719739</v>
      </c>
      <c r="AF89" s="119">
        <f t="shared" si="154"/>
        <v>0</v>
      </c>
      <c r="AG89" s="119">
        <f t="shared" si="154"/>
        <v>28</v>
      </c>
      <c r="AH89" s="119">
        <f t="shared" si="154"/>
        <v>0</v>
      </c>
      <c r="AI89" s="43">
        <f t="shared" si="154"/>
        <v>0</v>
      </c>
      <c r="AJ89" s="118"/>
      <c r="AK89" s="43">
        <f t="shared" ref="AK89:AO89" si="155">AK90+AK91</f>
        <v>493.857929200069</v>
      </c>
      <c r="AL89" s="54">
        <f t="shared" si="155"/>
        <v>738.75</v>
      </c>
      <c r="AM89" s="43">
        <f t="shared" si="155"/>
        <v>490.756642002973</v>
      </c>
      <c r="AN89" s="119">
        <f t="shared" si="155"/>
        <v>21007</v>
      </c>
      <c r="AO89" s="119">
        <f t="shared" si="155"/>
        <v>-3896</v>
      </c>
      <c r="AP89" s="125">
        <f t="shared" si="125"/>
        <v>-0.156447014415934</v>
      </c>
      <c r="AQ89" s="118">
        <f>AQ90+AQ91</f>
        <v>7291.69182538123</v>
      </c>
      <c r="AR89" s="198">
        <f t="shared" si="126"/>
        <v>0.531646225702391</v>
      </c>
      <c r="AS89" s="5"/>
      <c r="AT89" s="5"/>
      <c r="AU89" s="5"/>
      <c r="AV89" s="5"/>
      <c r="AW89" s="5"/>
      <c r="AX89" s="5"/>
      <c r="AY89" s="5"/>
      <c r="AZ89" s="5" t="s">
        <v>152</v>
      </c>
      <c r="BA89" s="5">
        <v>1878</v>
      </c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</row>
    <row r="90" ht="17" customHeight="1" spans="1:53">
      <c r="A90" s="29"/>
      <c r="B90" s="30" t="s">
        <v>137</v>
      </c>
      <c r="C90" s="31">
        <v>2</v>
      </c>
      <c r="D90" s="31"/>
      <c r="E90" s="31"/>
      <c r="F90" s="31"/>
      <c r="G90" s="189"/>
      <c r="H90" s="189"/>
      <c r="I90" s="189"/>
      <c r="J90" s="44">
        <f t="shared" ref="J90:J99" si="156">SUM(K90:O90)</f>
        <v>0</v>
      </c>
      <c r="K90" s="44">
        <f t="shared" ref="K90:K99" si="157">IF(D90="",I90*0.2,0)</f>
        <v>0</v>
      </c>
      <c r="L90" s="44">
        <f t="shared" ref="L90:L99" si="158">IF(D90=2017,I90*0.4,0)</f>
        <v>0</v>
      </c>
      <c r="M90" s="44">
        <f t="shared" ref="M90:M99" si="159">IF(D90=2018,I90*0.6,0)</f>
        <v>0</v>
      </c>
      <c r="N90" s="44">
        <f t="shared" ref="N90:N99" si="160">IF(D90=2019,I90*0.8,0)</f>
        <v>0</v>
      </c>
      <c r="O90" s="44">
        <f t="shared" ref="O90:O99" si="161">IF(D90=2020,I90*1,0)</f>
        <v>0</v>
      </c>
      <c r="P90" s="44"/>
      <c r="Q90" s="44"/>
      <c r="R90" s="44">
        <f>N90*0.4+O90*0.6+P90*0.8+Q90*1</f>
        <v>0</v>
      </c>
      <c r="S90" s="44">
        <f>Q90-T90-U90-V90</f>
        <v>0</v>
      </c>
      <c r="T90" s="44"/>
      <c r="U90" s="44"/>
      <c r="V90" s="44"/>
      <c r="W90" s="44"/>
      <c r="X90" s="76"/>
      <c r="Y90" s="115"/>
      <c r="Z90" s="44"/>
      <c r="AA90" s="44"/>
      <c r="AB90" s="44"/>
      <c r="AC90" s="44"/>
      <c r="AD90" s="76"/>
      <c r="AE90" s="44"/>
      <c r="AF90" s="44"/>
      <c r="AG90" s="44"/>
      <c r="AH90" s="44"/>
      <c r="AI90" s="44"/>
      <c r="AJ90" s="115"/>
      <c r="AK90" s="44">
        <f>AJ90/$AJ$9*0.05*200000</f>
        <v>0</v>
      </c>
      <c r="AL90" s="76"/>
      <c r="AM90" s="44">
        <f>(AL90/$AL$9)*0.05*200000</f>
        <v>0</v>
      </c>
      <c r="AN90" s="67">
        <f>ROUND(AM90+AK90+AE90+AC90+Z90+W90,0)</f>
        <v>0</v>
      </c>
      <c r="AO90" s="67">
        <f t="shared" ref="AO90:AO99" si="162">AN90-G90</f>
        <v>0</v>
      </c>
      <c r="AP90" s="125"/>
      <c r="AQ90" s="115">
        <f t="shared" ref="AQ90:AQ99" si="163">AN90-H90</f>
        <v>0</v>
      </c>
      <c r="AR90" s="198"/>
      <c r="AZ90" s="5" t="s">
        <v>153</v>
      </c>
      <c r="BA90" s="5">
        <v>2082</v>
      </c>
    </row>
    <row r="91" s="7" customFormat="1" ht="17" customHeight="1" spans="1:75">
      <c r="A91" s="45"/>
      <c r="B91" s="46" t="s">
        <v>76</v>
      </c>
      <c r="C91" s="47">
        <v>3</v>
      </c>
      <c r="D91" s="47"/>
      <c r="E91" s="47"/>
      <c r="F91" s="47"/>
      <c r="G91" s="121">
        <f>SUM(G92:G99)</f>
        <v>24903</v>
      </c>
      <c r="H91" s="121">
        <f>SUM(H92:H99)</f>
        <v>13715.3081746188</v>
      </c>
      <c r="I91" s="121">
        <f t="shared" ref="I91:O91" si="164">SUM(I92:I99)</f>
        <v>573982</v>
      </c>
      <c r="J91" s="49">
        <f t="shared" si="164"/>
        <v>469160.6</v>
      </c>
      <c r="K91" s="49">
        <f t="shared" si="164"/>
        <v>0</v>
      </c>
      <c r="L91" s="49">
        <f t="shared" si="164"/>
        <v>0</v>
      </c>
      <c r="M91" s="49">
        <f t="shared" si="164"/>
        <v>54529.8</v>
      </c>
      <c r="N91" s="49">
        <f t="shared" si="164"/>
        <v>273872.8</v>
      </c>
      <c r="O91" s="49">
        <f t="shared" si="164"/>
        <v>140758</v>
      </c>
      <c r="P91" s="49">
        <v>68675</v>
      </c>
      <c r="Q91" s="49">
        <f t="shared" ref="Q91:W91" si="165">SUM(Q92:Q99)</f>
        <v>37005</v>
      </c>
      <c r="R91" s="49">
        <f t="shared" si="165"/>
        <v>29105.8</v>
      </c>
      <c r="S91" s="49">
        <f t="shared" si="165"/>
        <v>0</v>
      </c>
      <c r="T91" s="49">
        <f t="shared" si="165"/>
        <v>1494.6</v>
      </c>
      <c r="U91" s="49">
        <f t="shared" si="165"/>
        <v>27611.2</v>
      </c>
      <c r="V91" s="49">
        <f t="shared" si="165"/>
        <v>0</v>
      </c>
      <c r="W91" s="49">
        <f t="shared" si="165"/>
        <v>7580.74463572516</v>
      </c>
      <c r="X91" s="78"/>
      <c r="Y91" s="120">
        <f t="shared" ref="Y91:AI91" si="166">SUM(Y92:Y99)</f>
        <v>1.03122043519395</v>
      </c>
      <c r="Z91" s="49">
        <f t="shared" si="166"/>
        <v>2565.00369380698</v>
      </c>
      <c r="AA91" s="49">
        <v>42</v>
      </c>
      <c r="AB91" s="49">
        <f t="shared" si="166"/>
        <v>5697.14705882353</v>
      </c>
      <c r="AC91" s="49">
        <f t="shared" si="166"/>
        <v>5697.14705882353</v>
      </c>
      <c r="AD91" s="55">
        <f t="shared" si="166"/>
        <v>389059.4</v>
      </c>
      <c r="AE91" s="49">
        <f t="shared" si="166"/>
        <v>4180.2846719739</v>
      </c>
      <c r="AF91" s="121">
        <f t="shared" si="166"/>
        <v>0</v>
      </c>
      <c r="AG91" s="121">
        <f t="shared" si="166"/>
        <v>28</v>
      </c>
      <c r="AH91" s="121">
        <f t="shared" si="166"/>
        <v>0</v>
      </c>
      <c r="AI91" s="49">
        <f t="shared" si="166"/>
        <v>0</v>
      </c>
      <c r="AJ91" s="120"/>
      <c r="AK91" s="49">
        <f t="shared" ref="AK91:AO91" si="167">SUM(AK92:AK99)</f>
        <v>493.857929200069</v>
      </c>
      <c r="AL91" s="55">
        <f t="shared" si="167"/>
        <v>738.75</v>
      </c>
      <c r="AM91" s="49">
        <f t="shared" si="167"/>
        <v>490.756642002973</v>
      </c>
      <c r="AN91" s="121">
        <f t="shared" si="167"/>
        <v>21007</v>
      </c>
      <c r="AO91" s="121">
        <f t="shared" si="167"/>
        <v>-3896</v>
      </c>
      <c r="AP91" s="125">
        <f t="shared" si="125"/>
        <v>-0.156447014415934</v>
      </c>
      <c r="AQ91" s="120">
        <f>SUM(AQ92:AQ99)</f>
        <v>7291.69182538123</v>
      </c>
      <c r="AR91" s="198">
        <f t="shared" si="126"/>
        <v>0.531646225702391</v>
      </c>
      <c r="AS91" s="5"/>
      <c r="AT91" s="5"/>
      <c r="AU91" s="5"/>
      <c r="AV91" s="5"/>
      <c r="AW91" s="5"/>
      <c r="AX91" s="5"/>
      <c r="AY91" s="5"/>
      <c r="AZ91" s="5" t="s">
        <v>154</v>
      </c>
      <c r="BA91" s="5">
        <v>1919</v>
      </c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</row>
    <row r="92" ht="17" customHeight="1" spans="1:53">
      <c r="A92" s="31">
        <v>57</v>
      </c>
      <c r="B92" s="51" t="s">
        <v>138</v>
      </c>
      <c r="C92" s="31" t="s">
        <v>90</v>
      </c>
      <c r="D92" s="31">
        <v>2019</v>
      </c>
      <c r="E92" s="31"/>
      <c r="F92" s="31"/>
      <c r="G92" s="189">
        <f t="shared" ref="G92:G99" si="168">VLOOKUP(B:B,$AZ:$BA,2,0)</f>
        <v>1214</v>
      </c>
      <c r="H92" s="189">
        <f t="shared" ref="H92:H99" si="169">G92*210000/381298.76</f>
        <v>668.609570091442</v>
      </c>
      <c r="I92" s="189">
        <v>56067</v>
      </c>
      <c r="J92" s="44">
        <f t="shared" si="156"/>
        <v>44853.6</v>
      </c>
      <c r="K92" s="44">
        <f t="shared" si="157"/>
        <v>0</v>
      </c>
      <c r="L92" s="44">
        <f t="shared" si="158"/>
        <v>0</v>
      </c>
      <c r="M92" s="44">
        <f t="shared" si="159"/>
        <v>0</v>
      </c>
      <c r="N92" s="44">
        <f t="shared" si="160"/>
        <v>44853.6</v>
      </c>
      <c r="O92" s="44">
        <f t="shared" si="161"/>
        <v>0</v>
      </c>
      <c r="P92" s="44">
        <v>6836</v>
      </c>
      <c r="Q92" s="44">
        <v>4466</v>
      </c>
      <c r="R92" s="44">
        <f t="shared" ref="R92:R99" si="170">S92+T92+U92+V92</f>
        <v>3572.8</v>
      </c>
      <c r="S92" s="44"/>
      <c r="T92" s="44"/>
      <c r="U92" s="44">
        <f t="shared" ref="U92:U99" si="171">Q92*0.8</f>
        <v>3572.8</v>
      </c>
      <c r="V92" s="44"/>
      <c r="W92" s="44">
        <f t="shared" ref="W92:W99" si="172">(J92/$J$9*0.2+P92/$P$9*0.05+R92/$R$9*0.05)*299423</f>
        <v>742.319233165747</v>
      </c>
      <c r="X92" s="76">
        <v>13321</v>
      </c>
      <c r="Y92" s="115">
        <f t="shared" ref="Y92:Y99" si="173">IF(X92&lt;12842,(12842-X92)/(12842-$X$175),0)</f>
        <v>0</v>
      </c>
      <c r="Z92" s="44">
        <f t="shared" ref="Z92:Z99" si="174">(Y92/$Y$9*0.15)*299423</f>
        <v>0</v>
      </c>
      <c r="AA92" s="44"/>
      <c r="AB92" s="44"/>
      <c r="AC92" s="44"/>
      <c r="AD92" s="76"/>
      <c r="AE92" s="44">
        <f>AD92/$AD$9*71500</f>
        <v>0</v>
      </c>
      <c r="AF92" s="44"/>
      <c r="AG92" s="44">
        <v>7</v>
      </c>
      <c r="AH92" s="44"/>
      <c r="AI92" s="44"/>
      <c r="AJ92" s="115">
        <f>VLOOKUP(B:B,'表6资金使用成效（12月30日）'!B:L,11,0)</f>
        <v>1</v>
      </c>
      <c r="AK92" s="44">
        <f t="shared" ref="AK92:AK99" si="175">AJ92/$AJ$9*0.025*299423</f>
        <v>64.4216454263734</v>
      </c>
      <c r="AL92" s="76">
        <v>91.39</v>
      </c>
      <c r="AM92" s="44">
        <f t="shared" ref="AM92:AM99" si="176">(AL92/$AL$9)*0.025*299423</f>
        <v>60.7109976482595</v>
      </c>
      <c r="AN92" s="67">
        <f t="shared" ref="AN92:AN99" si="177">ROUND(AM92+AK92+AE92+AC92+Z92+W92+AI92+AF92,0)</f>
        <v>867</v>
      </c>
      <c r="AO92" s="67">
        <f t="shared" si="162"/>
        <v>-347</v>
      </c>
      <c r="AP92" s="125">
        <f t="shared" si="125"/>
        <v>-0.285831960461285</v>
      </c>
      <c r="AQ92" s="44">
        <f t="shared" si="163"/>
        <v>198.390429908558</v>
      </c>
      <c r="AR92" s="198">
        <f t="shared" si="126"/>
        <v>0.296720894798777</v>
      </c>
      <c r="AZ92" s="5" t="s">
        <v>155</v>
      </c>
      <c r="BA92" s="5">
        <v>4785</v>
      </c>
    </row>
    <row r="93" ht="17" customHeight="1" spans="1:53">
      <c r="A93" s="31">
        <v>58</v>
      </c>
      <c r="B93" s="51" t="s">
        <v>139</v>
      </c>
      <c r="C93" s="31" t="s">
        <v>90</v>
      </c>
      <c r="D93" s="31">
        <v>2018</v>
      </c>
      <c r="E93" s="31"/>
      <c r="F93" s="31"/>
      <c r="G93" s="189">
        <f t="shared" si="168"/>
        <v>870</v>
      </c>
      <c r="H93" s="189">
        <f t="shared" si="169"/>
        <v>479.151833591066</v>
      </c>
      <c r="I93" s="189">
        <v>58746</v>
      </c>
      <c r="J93" s="44">
        <f t="shared" si="156"/>
        <v>35247.6</v>
      </c>
      <c r="K93" s="44">
        <f t="shared" si="157"/>
        <v>0</v>
      </c>
      <c r="L93" s="44">
        <f t="shared" si="158"/>
        <v>0</v>
      </c>
      <c r="M93" s="44">
        <f t="shared" si="159"/>
        <v>35247.6</v>
      </c>
      <c r="N93" s="44">
        <f t="shared" si="160"/>
        <v>0</v>
      </c>
      <c r="O93" s="44">
        <f t="shared" si="161"/>
        <v>0</v>
      </c>
      <c r="P93" s="44">
        <v>6310</v>
      </c>
      <c r="Q93" s="44">
        <v>2491</v>
      </c>
      <c r="R93" s="44">
        <f t="shared" si="170"/>
        <v>1494.6</v>
      </c>
      <c r="S93" s="44"/>
      <c r="T93" s="44">
        <f>Q93*0.6</f>
        <v>1494.6</v>
      </c>
      <c r="U93" s="44"/>
      <c r="V93" s="44"/>
      <c r="W93" s="44">
        <f t="shared" si="172"/>
        <v>579.080737328739</v>
      </c>
      <c r="X93" s="76">
        <v>12705</v>
      </c>
      <c r="Y93" s="115">
        <f t="shared" si="173"/>
        <v>0.025922421948912</v>
      </c>
      <c r="Z93" s="44">
        <f t="shared" si="174"/>
        <v>64.4780745048726</v>
      </c>
      <c r="AA93" s="44"/>
      <c r="AB93" s="44"/>
      <c r="AC93" s="44"/>
      <c r="AD93" s="76"/>
      <c r="AE93" s="44">
        <f>AD93/$AD$9*71500</f>
        <v>0</v>
      </c>
      <c r="AF93" s="44"/>
      <c r="AG93" s="44">
        <v>5</v>
      </c>
      <c r="AH93" s="44"/>
      <c r="AI93" s="44"/>
      <c r="AJ93" s="115">
        <f>VLOOKUP(B:B,'表6资金使用成效（12月30日）'!B:L,11,0)</f>
        <v>1</v>
      </c>
      <c r="AK93" s="44">
        <f t="shared" si="175"/>
        <v>64.4216454263734</v>
      </c>
      <c r="AL93" s="76">
        <v>93.26</v>
      </c>
      <c r="AM93" s="44">
        <f t="shared" si="176"/>
        <v>61.9532513478136</v>
      </c>
      <c r="AN93" s="67">
        <f t="shared" si="177"/>
        <v>770</v>
      </c>
      <c r="AO93" s="67">
        <f t="shared" si="162"/>
        <v>-100</v>
      </c>
      <c r="AP93" s="125">
        <f t="shared" si="125"/>
        <v>-0.114942528735632</v>
      </c>
      <c r="AQ93" s="44">
        <f t="shared" si="163"/>
        <v>290.848166408934</v>
      </c>
      <c r="AR93" s="198">
        <f t="shared" si="126"/>
        <v>0.607006268199235</v>
      </c>
      <c r="AZ93" s="5" t="s">
        <v>156</v>
      </c>
      <c r="BA93" s="5">
        <v>3363</v>
      </c>
    </row>
    <row r="94" ht="17" customHeight="1" spans="1:53">
      <c r="A94" s="31">
        <v>59</v>
      </c>
      <c r="B94" s="51" t="s">
        <v>140</v>
      </c>
      <c r="C94" s="31" t="s">
        <v>90</v>
      </c>
      <c r="D94" s="31">
        <v>2018</v>
      </c>
      <c r="E94" s="31" t="s">
        <v>91</v>
      </c>
      <c r="F94" s="31"/>
      <c r="G94" s="189">
        <f t="shared" si="168"/>
        <v>1067</v>
      </c>
      <c r="H94" s="189">
        <f t="shared" si="169"/>
        <v>587.649432691572</v>
      </c>
      <c r="I94" s="189">
        <v>32137</v>
      </c>
      <c r="J94" s="44">
        <f t="shared" si="156"/>
        <v>19282.2</v>
      </c>
      <c r="K94" s="44">
        <f t="shared" si="157"/>
        <v>0</v>
      </c>
      <c r="L94" s="44">
        <f t="shared" si="158"/>
        <v>0</v>
      </c>
      <c r="M94" s="44">
        <f t="shared" si="159"/>
        <v>19282.2</v>
      </c>
      <c r="N94" s="44">
        <f t="shared" si="160"/>
        <v>0</v>
      </c>
      <c r="O94" s="44">
        <f t="shared" si="161"/>
        <v>0</v>
      </c>
      <c r="P94" s="44">
        <v>4671</v>
      </c>
      <c r="Q94" s="44">
        <v>3630</v>
      </c>
      <c r="R94" s="44">
        <f t="shared" si="170"/>
        <v>2904</v>
      </c>
      <c r="S94" s="44"/>
      <c r="T94" s="44"/>
      <c r="U94" s="44">
        <f t="shared" si="171"/>
        <v>2904</v>
      </c>
      <c r="V94" s="44"/>
      <c r="W94" s="44">
        <f t="shared" si="172"/>
        <v>372.258117796372</v>
      </c>
      <c r="X94" s="76">
        <v>11495</v>
      </c>
      <c r="Y94" s="115">
        <f t="shared" si="173"/>
        <v>0.254872280037843</v>
      </c>
      <c r="Z94" s="44">
        <f t="shared" si="174"/>
        <v>633.955958817982</v>
      </c>
      <c r="AA94" s="44"/>
      <c r="AB94" s="44"/>
      <c r="AC94" s="44"/>
      <c r="AD94" s="76">
        <f t="shared" ref="AD94:AD99" si="178">J94</f>
        <v>19282.2</v>
      </c>
      <c r="AE94" s="44"/>
      <c r="AF94" s="44"/>
      <c r="AG94" s="44">
        <v>5</v>
      </c>
      <c r="AH94" s="44"/>
      <c r="AI94" s="44"/>
      <c r="AJ94" s="115">
        <f>VLOOKUP(B:B,'表6资金使用成效（12月30日）'!B:L,11,0)</f>
        <v>0.938037062528678</v>
      </c>
      <c r="AK94" s="44">
        <f t="shared" si="175"/>
        <v>60.4298910390194</v>
      </c>
      <c r="AL94" s="76">
        <v>89.75</v>
      </c>
      <c r="AM94" s="44">
        <f t="shared" si="176"/>
        <v>59.6215345106827</v>
      </c>
      <c r="AN94" s="67">
        <f t="shared" si="177"/>
        <v>1126</v>
      </c>
      <c r="AO94" s="67">
        <f t="shared" si="162"/>
        <v>59</v>
      </c>
      <c r="AP94" s="125">
        <f t="shared" si="125"/>
        <v>0.0552952202436739</v>
      </c>
      <c r="AQ94" s="44">
        <f t="shared" si="163"/>
        <v>538.350567308428</v>
      </c>
      <c r="AR94" s="198">
        <f t="shared" si="126"/>
        <v>0.916108375775429</v>
      </c>
      <c r="AZ94" s="5" t="s">
        <v>157</v>
      </c>
      <c r="BA94" s="5">
        <v>5879</v>
      </c>
    </row>
    <row r="95" ht="17" customHeight="1" spans="1:53">
      <c r="A95" s="31">
        <v>60</v>
      </c>
      <c r="B95" s="51" t="s">
        <v>141</v>
      </c>
      <c r="C95" s="31" t="s">
        <v>90</v>
      </c>
      <c r="D95" s="31">
        <v>2019</v>
      </c>
      <c r="E95" s="31" t="s">
        <v>91</v>
      </c>
      <c r="F95" s="31" t="s">
        <v>146</v>
      </c>
      <c r="G95" s="189">
        <f t="shared" si="168"/>
        <v>2861</v>
      </c>
      <c r="H95" s="189">
        <f t="shared" si="169"/>
        <v>1575.69355851039</v>
      </c>
      <c r="I95" s="189">
        <v>68883</v>
      </c>
      <c r="J95" s="44">
        <f t="shared" si="156"/>
        <v>55106.4</v>
      </c>
      <c r="K95" s="44">
        <f t="shared" si="157"/>
        <v>0</v>
      </c>
      <c r="L95" s="44">
        <f t="shared" si="158"/>
        <v>0</v>
      </c>
      <c r="M95" s="44">
        <f t="shared" si="159"/>
        <v>0</v>
      </c>
      <c r="N95" s="44">
        <f t="shared" si="160"/>
        <v>55106.4</v>
      </c>
      <c r="O95" s="44">
        <f t="shared" si="161"/>
        <v>0</v>
      </c>
      <c r="P95" s="44">
        <v>3623</v>
      </c>
      <c r="Q95" s="44">
        <v>3291</v>
      </c>
      <c r="R95" s="44">
        <f t="shared" si="170"/>
        <v>2632.8</v>
      </c>
      <c r="S95" s="44"/>
      <c r="T95" s="44"/>
      <c r="U95" s="44">
        <f t="shared" si="171"/>
        <v>2632.8</v>
      </c>
      <c r="V95" s="44"/>
      <c r="W95" s="44">
        <f t="shared" si="172"/>
        <v>797.909395650099</v>
      </c>
      <c r="X95" s="76">
        <v>11984</v>
      </c>
      <c r="Y95" s="115">
        <f t="shared" si="173"/>
        <v>0.162346263008515</v>
      </c>
      <c r="Z95" s="44">
        <f t="shared" si="174"/>
        <v>403.811590694751</v>
      </c>
      <c r="AA95" s="44">
        <v>23</v>
      </c>
      <c r="AB95" s="44">
        <f>VLOOKUP(B:B,小康村到县资金!C:I,7,0)</f>
        <v>5697.14705882353</v>
      </c>
      <c r="AC95" s="44">
        <v>5697.14705882353</v>
      </c>
      <c r="AD95" s="76">
        <f t="shared" si="178"/>
        <v>55106.4</v>
      </c>
      <c r="AE95" s="44"/>
      <c r="AF95" s="44"/>
      <c r="AG95" s="44"/>
      <c r="AH95" s="44"/>
      <c r="AI95" s="44"/>
      <c r="AJ95" s="115">
        <f>VLOOKUP(B:B,'表6资金使用成效（12月30日）'!B:L,11,0)</f>
        <v>0.927454214356118</v>
      </c>
      <c r="AK95" s="44">
        <f t="shared" si="175"/>
        <v>59.7481265464456</v>
      </c>
      <c r="AL95" s="76">
        <v>95.33</v>
      </c>
      <c r="AM95" s="44">
        <f t="shared" si="176"/>
        <v>63.3283664056087</v>
      </c>
      <c r="AN95" s="67">
        <f t="shared" si="177"/>
        <v>7022</v>
      </c>
      <c r="AO95" s="67">
        <f t="shared" si="162"/>
        <v>4161</v>
      </c>
      <c r="AP95" s="125">
        <f t="shared" si="125"/>
        <v>1.45438657811954</v>
      </c>
      <c r="AQ95" s="44">
        <f t="shared" si="163"/>
        <v>5446.30644148961</v>
      </c>
      <c r="AR95" s="198">
        <f t="shared" si="126"/>
        <v>3.45645027998869</v>
      </c>
      <c r="AZ95" s="5" t="s">
        <v>158</v>
      </c>
      <c r="BA95" s="5">
        <v>4633</v>
      </c>
    </row>
    <row r="96" ht="17" customHeight="1" spans="1:53">
      <c r="A96" s="31">
        <v>61</v>
      </c>
      <c r="B96" s="51" t="s">
        <v>142</v>
      </c>
      <c r="C96" s="31" t="s">
        <v>93</v>
      </c>
      <c r="D96" s="31">
        <v>2019</v>
      </c>
      <c r="E96" s="31" t="s">
        <v>94</v>
      </c>
      <c r="F96" s="31" t="s">
        <v>146</v>
      </c>
      <c r="G96" s="189">
        <f t="shared" si="168"/>
        <v>2817</v>
      </c>
      <c r="H96" s="189">
        <f t="shared" si="169"/>
        <v>1551.46059221383</v>
      </c>
      <c r="I96" s="189">
        <v>83326</v>
      </c>
      <c r="J96" s="44">
        <f t="shared" si="156"/>
        <v>66660.8</v>
      </c>
      <c r="K96" s="44">
        <f t="shared" si="157"/>
        <v>0</v>
      </c>
      <c r="L96" s="44">
        <f t="shared" si="158"/>
        <v>0</v>
      </c>
      <c r="M96" s="44">
        <f t="shared" si="159"/>
        <v>0</v>
      </c>
      <c r="N96" s="44">
        <f t="shared" si="160"/>
        <v>66660.8</v>
      </c>
      <c r="O96" s="44">
        <f t="shared" si="161"/>
        <v>0</v>
      </c>
      <c r="P96" s="44">
        <v>12893</v>
      </c>
      <c r="Q96" s="44">
        <v>4689</v>
      </c>
      <c r="R96" s="44">
        <f t="shared" si="170"/>
        <v>3751.2</v>
      </c>
      <c r="S96" s="44"/>
      <c r="T96" s="44"/>
      <c r="U96" s="44">
        <f t="shared" si="171"/>
        <v>3751.2</v>
      </c>
      <c r="V96" s="44"/>
      <c r="W96" s="44">
        <f t="shared" si="172"/>
        <v>1127.2831598572</v>
      </c>
      <c r="X96" s="76">
        <v>12054</v>
      </c>
      <c r="Y96" s="115">
        <f t="shared" si="173"/>
        <v>0.149101229895932</v>
      </c>
      <c r="Z96" s="44">
        <f t="shared" si="174"/>
        <v>370.866589122918</v>
      </c>
      <c r="AA96" s="44">
        <v>12</v>
      </c>
      <c r="AB96" s="44"/>
      <c r="AC96" s="44"/>
      <c r="AD96" s="76">
        <f t="shared" si="178"/>
        <v>66660.8</v>
      </c>
      <c r="AE96" s="44"/>
      <c r="AF96" s="44"/>
      <c r="AG96" s="44"/>
      <c r="AH96" s="44"/>
      <c r="AI96" s="44"/>
      <c r="AJ96" s="115">
        <f>VLOOKUP(B:B,'表6资金使用成效（12月30日）'!B:L,11,0)</f>
        <v>1</v>
      </c>
      <c r="AK96" s="44">
        <f t="shared" si="175"/>
        <v>64.4216454263734</v>
      </c>
      <c r="AL96" s="76">
        <v>91.28</v>
      </c>
      <c r="AM96" s="44">
        <f t="shared" si="176"/>
        <v>60.6379239012269</v>
      </c>
      <c r="AN96" s="67">
        <f t="shared" si="177"/>
        <v>1623</v>
      </c>
      <c r="AO96" s="67">
        <f t="shared" si="162"/>
        <v>-1194</v>
      </c>
      <c r="AP96" s="125">
        <f t="shared" si="125"/>
        <v>-0.423855165069223</v>
      </c>
      <c r="AQ96" s="44">
        <f t="shared" si="163"/>
        <v>71.5394077861699</v>
      </c>
      <c r="AR96" s="198">
        <f t="shared" si="126"/>
        <v>0.0461110054262403</v>
      </c>
      <c r="AZ96" s="5" t="s">
        <v>159</v>
      </c>
      <c r="BA96" s="5">
        <v>2997</v>
      </c>
    </row>
    <row r="97" ht="17" customHeight="1" spans="1:53">
      <c r="A97" s="31">
        <v>62</v>
      </c>
      <c r="B97" s="51" t="s">
        <v>143</v>
      </c>
      <c r="C97" s="31" t="s">
        <v>90</v>
      </c>
      <c r="D97" s="31">
        <v>2019</v>
      </c>
      <c r="E97" s="31" t="s">
        <v>91</v>
      </c>
      <c r="F97" s="31"/>
      <c r="G97" s="189">
        <f t="shared" si="168"/>
        <v>1047</v>
      </c>
      <c r="H97" s="189">
        <f t="shared" si="169"/>
        <v>576.634448011318</v>
      </c>
      <c r="I97" s="189">
        <v>72985</v>
      </c>
      <c r="J97" s="44">
        <f t="shared" si="156"/>
        <v>58388</v>
      </c>
      <c r="K97" s="44">
        <f t="shared" si="157"/>
        <v>0</v>
      </c>
      <c r="L97" s="44">
        <f t="shared" si="158"/>
        <v>0</v>
      </c>
      <c r="M97" s="44">
        <f t="shared" si="159"/>
        <v>0</v>
      </c>
      <c r="N97" s="44">
        <f t="shared" si="160"/>
        <v>58388</v>
      </c>
      <c r="O97" s="44">
        <f t="shared" si="161"/>
        <v>0</v>
      </c>
      <c r="P97" s="44">
        <v>9744</v>
      </c>
      <c r="Q97" s="44">
        <v>3714</v>
      </c>
      <c r="R97" s="44">
        <f t="shared" si="170"/>
        <v>2971.2</v>
      </c>
      <c r="S97" s="44"/>
      <c r="T97" s="44"/>
      <c r="U97" s="44">
        <f t="shared" si="171"/>
        <v>2971.2</v>
      </c>
      <c r="V97" s="44"/>
      <c r="W97" s="44">
        <f t="shared" si="172"/>
        <v>954.485577196107</v>
      </c>
      <c r="X97" s="76">
        <v>12318</v>
      </c>
      <c r="Y97" s="115">
        <f t="shared" si="173"/>
        <v>0.0991485335856197</v>
      </c>
      <c r="Z97" s="44">
        <f t="shared" si="174"/>
        <v>246.616868909148</v>
      </c>
      <c r="AA97" s="44"/>
      <c r="AB97" s="44"/>
      <c r="AC97" s="44"/>
      <c r="AD97" s="76">
        <f t="shared" si="178"/>
        <v>58388</v>
      </c>
      <c r="AE97" s="44"/>
      <c r="AF97" s="44"/>
      <c r="AG97" s="44">
        <v>6</v>
      </c>
      <c r="AH97" s="44"/>
      <c r="AI97" s="44"/>
      <c r="AJ97" s="115">
        <f>VLOOKUP(B:B,'表6资金使用成效（12月30日）'!B:L,11,0)</f>
        <v>0.948243926850886</v>
      </c>
      <c r="AK97" s="44">
        <f t="shared" si="175"/>
        <v>61.0874340332998</v>
      </c>
      <c r="AL97" s="76">
        <v>91.36</v>
      </c>
      <c r="AM97" s="44">
        <f t="shared" si="176"/>
        <v>60.6910684445233</v>
      </c>
      <c r="AN97" s="67">
        <f t="shared" si="177"/>
        <v>1323</v>
      </c>
      <c r="AO97" s="67">
        <f t="shared" si="162"/>
        <v>276</v>
      </c>
      <c r="AP97" s="125">
        <f t="shared" si="125"/>
        <v>0.263610315186246</v>
      </c>
      <c r="AQ97" s="44">
        <f t="shared" si="163"/>
        <v>746.365551988682</v>
      </c>
      <c r="AR97" s="198">
        <f t="shared" si="126"/>
        <v>1.29434783954155</v>
      </c>
      <c r="AZ97" s="5" t="s">
        <v>160</v>
      </c>
      <c r="BA97" s="5">
        <v>0</v>
      </c>
    </row>
    <row r="98" s="5" customFormat="1" ht="17" customHeight="1" spans="1:53">
      <c r="A98" s="31">
        <v>63</v>
      </c>
      <c r="B98" s="51" t="s">
        <v>144</v>
      </c>
      <c r="C98" s="31" t="s">
        <v>93</v>
      </c>
      <c r="D98" s="31">
        <v>2020</v>
      </c>
      <c r="E98" s="31" t="s">
        <v>94</v>
      </c>
      <c r="F98" s="31"/>
      <c r="G98" s="189">
        <f t="shared" si="168"/>
        <v>13131</v>
      </c>
      <c r="H98" s="189">
        <f t="shared" si="169"/>
        <v>7231.88819182103</v>
      </c>
      <c r="I98" s="189">
        <v>140758</v>
      </c>
      <c r="J98" s="44">
        <f t="shared" si="156"/>
        <v>140758</v>
      </c>
      <c r="K98" s="44">
        <f t="shared" si="157"/>
        <v>0</v>
      </c>
      <c r="L98" s="44">
        <f t="shared" si="158"/>
        <v>0</v>
      </c>
      <c r="M98" s="44">
        <f t="shared" si="159"/>
        <v>0</v>
      </c>
      <c r="N98" s="44">
        <f t="shared" si="160"/>
        <v>0</v>
      </c>
      <c r="O98" s="44">
        <f t="shared" si="161"/>
        <v>140758</v>
      </c>
      <c r="P98" s="44">
        <v>20728</v>
      </c>
      <c r="Q98" s="44">
        <v>9715</v>
      </c>
      <c r="R98" s="44">
        <f t="shared" si="170"/>
        <v>7772</v>
      </c>
      <c r="S98" s="44"/>
      <c r="T98" s="44"/>
      <c r="U98" s="44">
        <f t="shared" si="171"/>
        <v>7772</v>
      </c>
      <c r="V98" s="44"/>
      <c r="W98" s="44">
        <f t="shared" si="172"/>
        <v>2261.16443196749</v>
      </c>
      <c r="X98" s="76">
        <v>11435</v>
      </c>
      <c r="Y98" s="115">
        <f t="shared" si="173"/>
        <v>0.266225165562914</v>
      </c>
      <c r="Z98" s="44">
        <f t="shared" si="174"/>
        <v>662.194531593839</v>
      </c>
      <c r="AA98" s="44"/>
      <c r="AB98" s="44"/>
      <c r="AC98" s="44"/>
      <c r="AD98" s="76">
        <f t="shared" si="178"/>
        <v>140758</v>
      </c>
      <c r="AE98" s="44">
        <f>H98-W98-Z98-AC98-AK98-AM98</f>
        <v>4187.04899008879</v>
      </c>
      <c r="AF98" s="44"/>
      <c r="AG98" s="44">
        <v>5</v>
      </c>
      <c r="AH98" s="44"/>
      <c r="AI98" s="44"/>
      <c r="AJ98" s="115">
        <f>VLOOKUP(B:B,'表6资金使用成效（12月30日）'!B:L,11,0)</f>
        <v>0.931961651320204</v>
      </c>
      <c r="AK98" s="44">
        <f t="shared" si="175"/>
        <v>60.0385030523277</v>
      </c>
      <c r="AL98" s="76">
        <v>92.49</v>
      </c>
      <c r="AM98" s="44">
        <f t="shared" si="176"/>
        <v>61.4417351185854</v>
      </c>
      <c r="AN98" s="67">
        <f t="shared" si="177"/>
        <v>7232</v>
      </c>
      <c r="AO98" s="67">
        <f t="shared" si="162"/>
        <v>-5899</v>
      </c>
      <c r="AP98" s="126">
        <f t="shared" si="125"/>
        <v>-0.449242251161374</v>
      </c>
      <c r="AQ98" s="44">
        <f t="shared" si="163"/>
        <v>0.111808178970023</v>
      </c>
      <c r="AR98" s="198">
        <f t="shared" si="126"/>
        <v>1.54604407596447e-5</v>
      </c>
      <c r="AZ98" s="5" t="s">
        <v>161</v>
      </c>
      <c r="BA98" s="5">
        <v>981</v>
      </c>
    </row>
    <row r="99" ht="17" customHeight="1" spans="1:53">
      <c r="A99" s="31">
        <v>64</v>
      </c>
      <c r="B99" s="51" t="s">
        <v>145</v>
      </c>
      <c r="C99" s="31" t="s">
        <v>90</v>
      </c>
      <c r="D99" s="31">
        <v>2019</v>
      </c>
      <c r="E99" s="31" t="s">
        <v>91</v>
      </c>
      <c r="F99" s="31" t="s">
        <v>146</v>
      </c>
      <c r="G99" s="189">
        <f t="shared" si="168"/>
        <v>1896</v>
      </c>
      <c r="H99" s="189">
        <f t="shared" si="169"/>
        <v>1044.22054768812</v>
      </c>
      <c r="I99" s="189">
        <v>61080</v>
      </c>
      <c r="J99" s="44">
        <f t="shared" si="156"/>
        <v>48864</v>
      </c>
      <c r="K99" s="44">
        <f t="shared" si="157"/>
        <v>0</v>
      </c>
      <c r="L99" s="44">
        <f t="shared" si="158"/>
        <v>0</v>
      </c>
      <c r="M99" s="44">
        <f t="shared" si="159"/>
        <v>0</v>
      </c>
      <c r="N99" s="44">
        <f t="shared" si="160"/>
        <v>48864</v>
      </c>
      <c r="O99" s="44">
        <f t="shared" si="161"/>
        <v>0</v>
      </c>
      <c r="P99" s="44">
        <v>3870</v>
      </c>
      <c r="Q99" s="44">
        <v>5009</v>
      </c>
      <c r="R99" s="44">
        <f t="shared" si="170"/>
        <v>4007.2</v>
      </c>
      <c r="S99" s="44"/>
      <c r="T99" s="44"/>
      <c r="U99" s="44">
        <f t="shared" si="171"/>
        <v>4007.2</v>
      </c>
      <c r="V99" s="44"/>
      <c r="W99" s="44">
        <f t="shared" si="172"/>
        <v>746.243982763407</v>
      </c>
      <c r="X99" s="76">
        <v>12453</v>
      </c>
      <c r="Y99" s="115">
        <f t="shared" si="173"/>
        <v>0.07360454115421</v>
      </c>
      <c r="Z99" s="44">
        <f t="shared" si="174"/>
        <v>183.080080163471</v>
      </c>
      <c r="AA99" s="44">
        <v>7</v>
      </c>
      <c r="AB99" s="44"/>
      <c r="AC99" s="44"/>
      <c r="AD99" s="76">
        <f t="shared" si="178"/>
        <v>48864</v>
      </c>
      <c r="AE99" s="44">
        <f>H99-W99-Z99-AC99-AK99-AM99</f>
        <v>-6.7643181148865</v>
      </c>
      <c r="AF99" s="44"/>
      <c r="AG99" s="44"/>
      <c r="AH99" s="44"/>
      <c r="AI99" s="44"/>
      <c r="AJ99" s="115">
        <f>VLOOKUP(B:B,'表6资金使用成效（12月30日）'!B:L,11,0)</f>
        <v>0.920327909314527</v>
      </c>
      <c r="AK99" s="44">
        <f t="shared" si="175"/>
        <v>59.289038249856</v>
      </c>
      <c r="AL99" s="76">
        <v>93.89</v>
      </c>
      <c r="AM99" s="44">
        <f t="shared" si="176"/>
        <v>62.3717646262729</v>
      </c>
      <c r="AN99" s="67">
        <f t="shared" si="177"/>
        <v>1044</v>
      </c>
      <c r="AO99" s="67">
        <f t="shared" si="162"/>
        <v>-852</v>
      </c>
      <c r="AP99" s="125">
        <f t="shared" si="125"/>
        <v>-0.449367088607595</v>
      </c>
      <c r="AQ99" s="44">
        <f t="shared" si="163"/>
        <v>-0.22054768811995</v>
      </c>
      <c r="AR99" s="198">
        <f t="shared" si="126"/>
        <v>-0.000211207956602882</v>
      </c>
      <c r="AZ99" s="5" t="s">
        <v>162</v>
      </c>
      <c r="BA99" s="5">
        <v>493</v>
      </c>
    </row>
    <row r="100" s="6" customFormat="1" ht="17" customHeight="1" spans="1:75">
      <c r="A100" s="39"/>
      <c r="B100" s="40" t="s">
        <v>147</v>
      </c>
      <c r="C100" s="41">
        <v>1</v>
      </c>
      <c r="D100" s="41"/>
      <c r="E100" s="41"/>
      <c r="F100" s="41"/>
      <c r="G100" s="119">
        <f>G101+G102</f>
        <v>30824</v>
      </c>
      <c r="H100" s="119">
        <f>H101+H102</f>
        <v>16976.2943892081</v>
      </c>
      <c r="I100" s="119">
        <f t="shared" ref="I100:O100" si="179">I101+I102</f>
        <v>553461</v>
      </c>
      <c r="J100" s="43">
        <f t="shared" si="179"/>
        <v>438757</v>
      </c>
      <c r="K100" s="43">
        <f t="shared" si="179"/>
        <v>3311.2</v>
      </c>
      <c r="L100" s="43">
        <f t="shared" si="179"/>
        <v>5276</v>
      </c>
      <c r="M100" s="43">
        <f t="shared" si="179"/>
        <v>84178.8</v>
      </c>
      <c r="N100" s="43">
        <f t="shared" si="179"/>
        <v>149704</v>
      </c>
      <c r="O100" s="43">
        <f t="shared" si="179"/>
        <v>196287</v>
      </c>
      <c r="P100" s="43">
        <v>81093</v>
      </c>
      <c r="Q100" s="43">
        <f t="shared" ref="Q100:W100" si="180">Q101+Q102</f>
        <v>81805</v>
      </c>
      <c r="R100" s="43">
        <f t="shared" si="180"/>
        <v>76734.8</v>
      </c>
      <c r="S100" s="43">
        <f t="shared" si="180"/>
        <v>172.8</v>
      </c>
      <c r="T100" s="43">
        <f t="shared" si="180"/>
        <v>1729.2</v>
      </c>
      <c r="U100" s="43">
        <f t="shared" si="180"/>
        <v>14632.8</v>
      </c>
      <c r="V100" s="43">
        <f t="shared" si="180"/>
        <v>60200</v>
      </c>
      <c r="W100" s="43">
        <f t="shared" si="180"/>
        <v>8189.13407180068</v>
      </c>
      <c r="X100" s="77"/>
      <c r="Y100" s="118">
        <f t="shared" ref="Y100:AI100" si="181">Y101+Y102</f>
        <v>0.898202459791864</v>
      </c>
      <c r="Z100" s="43">
        <f t="shared" si="181"/>
        <v>2234.14174944986</v>
      </c>
      <c r="AA100" s="43">
        <v>44</v>
      </c>
      <c r="AB100" s="43">
        <f t="shared" si="181"/>
        <v>0</v>
      </c>
      <c r="AC100" s="43">
        <f t="shared" si="181"/>
        <v>0</v>
      </c>
      <c r="AD100" s="54">
        <f t="shared" si="181"/>
        <v>380743</v>
      </c>
      <c r="AE100" s="43">
        <f t="shared" si="181"/>
        <v>4209.55393833378</v>
      </c>
      <c r="AF100" s="119">
        <f t="shared" si="181"/>
        <v>0</v>
      </c>
      <c r="AG100" s="119">
        <f t="shared" si="181"/>
        <v>26</v>
      </c>
      <c r="AH100" s="119">
        <f t="shared" si="181"/>
        <v>193.921161825726</v>
      </c>
      <c r="AI100" s="43">
        <f t="shared" si="181"/>
        <v>0</v>
      </c>
      <c r="AJ100" s="118"/>
      <c r="AK100" s="43">
        <f t="shared" ref="AK100:AO100" si="182">AK101+AK102</f>
        <v>594.499333249882</v>
      </c>
      <c r="AL100" s="54">
        <f t="shared" si="182"/>
        <v>890.99</v>
      </c>
      <c r="AM100" s="43">
        <f t="shared" si="182"/>
        <v>591.89070789608</v>
      </c>
      <c r="AN100" s="119">
        <f t="shared" si="182"/>
        <v>15819</v>
      </c>
      <c r="AO100" s="119">
        <f t="shared" si="182"/>
        <v>-15005</v>
      </c>
      <c r="AP100" s="125">
        <f t="shared" si="125"/>
        <v>-0.486796003114456</v>
      </c>
      <c r="AQ100" s="118">
        <f>AQ101+AQ102</f>
        <v>-1157.29438920808</v>
      </c>
      <c r="AR100" s="198">
        <f t="shared" si="126"/>
        <v>-0.0681712017166586</v>
      </c>
      <c r="AS100" s="5"/>
      <c r="AT100" s="5"/>
      <c r="AU100" s="5"/>
      <c r="AV100" s="5"/>
      <c r="AW100" s="5"/>
      <c r="AX100" s="5"/>
      <c r="AY100" s="5"/>
      <c r="AZ100" s="5" t="s">
        <v>163</v>
      </c>
      <c r="BA100" s="5">
        <v>1523</v>
      </c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</row>
    <row r="101" ht="17" customHeight="1" spans="1:53">
      <c r="A101" s="29"/>
      <c r="B101" s="30" t="s">
        <v>148</v>
      </c>
      <c r="C101" s="31">
        <v>2</v>
      </c>
      <c r="D101" s="31"/>
      <c r="E101" s="31"/>
      <c r="F101" s="31"/>
      <c r="G101" s="189"/>
      <c r="H101" s="189"/>
      <c r="I101" s="189"/>
      <c r="J101" s="44">
        <f t="shared" ref="J101:J112" si="183">SUM(K101:O101)</f>
        <v>0</v>
      </c>
      <c r="K101" s="44">
        <f t="shared" ref="K101:K112" si="184">IF(D101="",I101*0.2,0)</f>
        <v>0</v>
      </c>
      <c r="L101" s="44">
        <f t="shared" ref="L101:L112" si="185">IF(D101=2017,I101*0.4,0)</f>
        <v>0</v>
      </c>
      <c r="M101" s="44">
        <f t="shared" ref="M101:M112" si="186">IF(D101=2018,I101*0.6,0)</f>
        <v>0</v>
      </c>
      <c r="N101" s="44">
        <f t="shared" ref="N101:N112" si="187">IF(D101=2019,I101*0.8,0)</f>
        <v>0</v>
      </c>
      <c r="O101" s="44">
        <f t="shared" ref="O101:O112" si="188">IF(D101=2020,I101*1,0)</f>
        <v>0</v>
      </c>
      <c r="P101" s="44"/>
      <c r="Q101" s="44"/>
      <c r="R101" s="44">
        <f>N101*0.4+O101*0.6+P101*0.8+Q101*1</f>
        <v>0</v>
      </c>
      <c r="S101" s="44">
        <f>Q101-T101-U101-V101</f>
        <v>0</v>
      </c>
      <c r="T101" s="44"/>
      <c r="U101" s="44"/>
      <c r="V101" s="44"/>
      <c r="W101" s="44"/>
      <c r="X101" s="76"/>
      <c r="Y101" s="115"/>
      <c r="Z101" s="44"/>
      <c r="AA101" s="44"/>
      <c r="AB101" s="44"/>
      <c r="AC101" s="44"/>
      <c r="AD101" s="76"/>
      <c r="AE101" s="44"/>
      <c r="AF101" s="44"/>
      <c r="AG101" s="44"/>
      <c r="AH101" s="44"/>
      <c r="AI101" s="44"/>
      <c r="AJ101" s="115"/>
      <c r="AK101" s="44">
        <f>AJ101/$AJ$9*0.05*200000</f>
        <v>0</v>
      </c>
      <c r="AL101" s="76"/>
      <c r="AM101" s="44">
        <f>(AL101/$AL$9)*0.05*200000</f>
        <v>0</v>
      </c>
      <c r="AN101" s="67">
        <f>ROUND(AM101+AK101+AE101+AC101+Z101+W101,0)</f>
        <v>0</v>
      </c>
      <c r="AO101" s="67">
        <f t="shared" ref="AO101:AO112" si="189">AN101-G101</f>
        <v>0</v>
      </c>
      <c r="AP101" s="125"/>
      <c r="AQ101" s="115">
        <f t="shared" ref="AQ101:AQ112" si="190">AN101-H101</f>
        <v>0</v>
      </c>
      <c r="AR101" s="198"/>
      <c r="AZ101" s="5" t="s">
        <v>164</v>
      </c>
      <c r="BA101" s="5">
        <v>20161</v>
      </c>
    </row>
    <row r="102" s="7" customFormat="1" ht="17" customHeight="1" spans="1:75">
      <c r="A102" s="45"/>
      <c r="B102" s="46" t="s">
        <v>76</v>
      </c>
      <c r="C102" s="47">
        <v>3</v>
      </c>
      <c r="D102" s="47"/>
      <c r="E102" s="47"/>
      <c r="F102" s="47"/>
      <c r="G102" s="121">
        <f>SUM(G103:G112)</f>
        <v>30824</v>
      </c>
      <c r="H102" s="121">
        <f>SUM(H103:H112)</f>
        <v>16976.2943892081</v>
      </c>
      <c r="I102" s="121">
        <f t="shared" ref="I102:O102" si="191">SUM(I103:I112)</f>
        <v>553461</v>
      </c>
      <c r="J102" s="49">
        <f t="shared" si="191"/>
        <v>438757</v>
      </c>
      <c r="K102" s="49">
        <f t="shared" si="191"/>
        <v>3311.2</v>
      </c>
      <c r="L102" s="49">
        <f t="shared" si="191"/>
        <v>5276</v>
      </c>
      <c r="M102" s="49">
        <f t="shared" si="191"/>
        <v>84178.8</v>
      </c>
      <c r="N102" s="49">
        <f t="shared" si="191"/>
        <v>149704</v>
      </c>
      <c r="O102" s="49">
        <f t="shared" si="191"/>
        <v>196287</v>
      </c>
      <c r="P102" s="49">
        <v>81093</v>
      </c>
      <c r="Q102" s="49">
        <f t="shared" ref="Q102:W102" si="192">SUM(Q103:Q112)</f>
        <v>81805</v>
      </c>
      <c r="R102" s="49">
        <f t="shared" si="192"/>
        <v>76734.8</v>
      </c>
      <c r="S102" s="49">
        <f t="shared" si="192"/>
        <v>172.8</v>
      </c>
      <c r="T102" s="49">
        <f t="shared" si="192"/>
        <v>1729.2</v>
      </c>
      <c r="U102" s="49">
        <f t="shared" si="192"/>
        <v>14632.8</v>
      </c>
      <c r="V102" s="49">
        <f t="shared" si="192"/>
        <v>60200</v>
      </c>
      <c r="W102" s="49">
        <f t="shared" si="192"/>
        <v>8189.13407180068</v>
      </c>
      <c r="X102" s="78"/>
      <c r="Y102" s="120">
        <f t="shared" ref="Y102:AI102" si="193">SUM(Y103:Y112)</f>
        <v>0.898202459791864</v>
      </c>
      <c r="Z102" s="49">
        <f t="shared" si="193"/>
        <v>2234.14174944986</v>
      </c>
      <c r="AA102" s="49">
        <v>44</v>
      </c>
      <c r="AB102" s="49">
        <f t="shared" si="193"/>
        <v>0</v>
      </c>
      <c r="AC102" s="49">
        <f t="shared" si="193"/>
        <v>0</v>
      </c>
      <c r="AD102" s="55">
        <f t="shared" si="193"/>
        <v>380743</v>
      </c>
      <c r="AE102" s="49">
        <f t="shared" si="193"/>
        <v>4209.55393833378</v>
      </c>
      <c r="AF102" s="121">
        <f t="shared" si="193"/>
        <v>0</v>
      </c>
      <c r="AG102" s="121">
        <f t="shared" si="193"/>
        <v>26</v>
      </c>
      <c r="AH102" s="121">
        <f t="shared" si="193"/>
        <v>193.921161825726</v>
      </c>
      <c r="AI102" s="49">
        <f t="shared" si="193"/>
        <v>0</v>
      </c>
      <c r="AJ102" s="120"/>
      <c r="AK102" s="49">
        <f t="shared" ref="AK102:AO102" si="194">SUM(AK103:AK112)</f>
        <v>594.499333249882</v>
      </c>
      <c r="AL102" s="55">
        <f t="shared" si="194"/>
        <v>890.99</v>
      </c>
      <c r="AM102" s="49">
        <f t="shared" si="194"/>
        <v>591.89070789608</v>
      </c>
      <c r="AN102" s="121">
        <f t="shared" si="194"/>
        <v>15819</v>
      </c>
      <c r="AO102" s="121">
        <f t="shared" si="194"/>
        <v>-15005</v>
      </c>
      <c r="AP102" s="125">
        <f t="shared" si="125"/>
        <v>-0.486796003114456</v>
      </c>
      <c r="AQ102" s="120">
        <f>SUM(AQ103:AQ112)</f>
        <v>-1157.29438920808</v>
      </c>
      <c r="AR102" s="198">
        <f t="shared" si="126"/>
        <v>-0.0681712017166586</v>
      </c>
      <c r="AS102" s="5"/>
      <c r="AT102" s="5"/>
      <c r="AU102" s="5"/>
      <c r="AV102" s="5"/>
      <c r="AW102" s="5"/>
      <c r="AX102" s="5"/>
      <c r="AY102" s="5"/>
      <c r="AZ102" s="5" t="s">
        <v>165</v>
      </c>
      <c r="BA102" s="5">
        <v>0</v>
      </c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</row>
    <row r="103" ht="17" customHeight="1" spans="1:53">
      <c r="A103" s="31">
        <v>65</v>
      </c>
      <c r="B103" s="51" t="s">
        <v>149</v>
      </c>
      <c r="C103" s="31" t="s">
        <v>78</v>
      </c>
      <c r="D103" s="31"/>
      <c r="E103" s="31"/>
      <c r="F103" s="31"/>
      <c r="G103" s="189">
        <f t="shared" ref="G103:G112" si="195">VLOOKUP(B:B,$AZ:$BA,2,0)</f>
        <v>2570</v>
      </c>
      <c r="H103" s="189">
        <f t="shared" ref="H103:H112" si="196">G103*210000/381298.76</f>
        <v>1415.42553141269</v>
      </c>
      <c r="I103" s="189">
        <v>16556</v>
      </c>
      <c r="J103" s="44">
        <f t="shared" si="183"/>
        <v>3311.2</v>
      </c>
      <c r="K103" s="44">
        <f t="shared" si="184"/>
        <v>3311.2</v>
      </c>
      <c r="L103" s="44">
        <f t="shared" si="185"/>
        <v>0</v>
      </c>
      <c r="M103" s="44">
        <f t="shared" si="186"/>
        <v>0</v>
      </c>
      <c r="N103" s="44">
        <f t="shared" si="187"/>
        <v>0</v>
      </c>
      <c r="O103" s="44">
        <f t="shared" si="188"/>
        <v>0</v>
      </c>
      <c r="P103" s="44">
        <v>1011</v>
      </c>
      <c r="Q103" s="44">
        <v>1715</v>
      </c>
      <c r="R103" s="44">
        <f t="shared" ref="R103:R112" si="197">S103+T103+U103+V103</f>
        <v>1029</v>
      </c>
      <c r="S103" s="44"/>
      <c r="T103" s="44">
        <f>Q103*0.6</f>
        <v>1029</v>
      </c>
      <c r="U103" s="44"/>
      <c r="V103" s="44"/>
      <c r="W103" s="44">
        <f t="shared" ref="W103:W112" si="198">(J103/$J$9*0.2+P103/$P$9*0.05+R103/$R$9*0.05)*299423</f>
        <v>76.2099856535111</v>
      </c>
      <c r="X103" s="76">
        <v>13236</v>
      </c>
      <c r="Y103" s="115">
        <f t="shared" ref="Y103:Y112" si="199">IF(X103&lt;12842,(12842-X103)/(12842-$X$175),0)</f>
        <v>0</v>
      </c>
      <c r="Z103" s="44">
        <f t="shared" ref="Z103:Z112" si="200">(Y103/$Y$9*0.15)*299423</f>
        <v>0</v>
      </c>
      <c r="AA103" s="44"/>
      <c r="AB103" s="44"/>
      <c r="AC103" s="44"/>
      <c r="AD103" s="76"/>
      <c r="AE103" s="44">
        <f t="shared" ref="AE103:AE107" si="201">AD103/$AD$9*71500</f>
        <v>0</v>
      </c>
      <c r="AF103" s="44"/>
      <c r="AG103" s="44">
        <v>5</v>
      </c>
      <c r="AH103" s="44">
        <f>AG103/$AG$13*9347</f>
        <v>193.921161825726</v>
      </c>
      <c r="AI103" s="44"/>
      <c r="AJ103" s="115">
        <f>VLOOKUP(B:B,'表6资金使用成效（12月30日）'!B:L,11,0)</f>
        <v>0.925168113017154</v>
      </c>
      <c r="AK103" s="44">
        <f t="shared" ref="AK103:AK112" si="202">AJ103/$AJ$9*0.025*299423</f>
        <v>59.6008521365781</v>
      </c>
      <c r="AL103" s="76">
        <v>85.65</v>
      </c>
      <c r="AM103" s="44">
        <f t="shared" ref="AM103:AM112" si="203">(AL103/$AL$9)*0.025*299423</f>
        <v>56.8978766667406</v>
      </c>
      <c r="AN103" s="67">
        <f t="shared" ref="AN103:AN112" si="204">ROUND(AM103+AK103+AE103+AC103+Z103+W103+AI103+AF103,0)</f>
        <v>193</v>
      </c>
      <c r="AO103" s="67">
        <f t="shared" si="189"/>
        <v>-2377</v>
      </c>
      <c r="AP103" s="125">
        <f t="shared" si="125"/>
        <v>-0.924902723735409</v>
      </c>
      <c r="AQ103" s="44">
        <f t="shared" si="190"/>
        <v>-1222.42553141269</v>
      </c>
      <c r="AR103" s="198">
        <f t="shared" si="126"/>
        <v>-0.863645246099685</v>
      </c>
      <c r="AZ103" s="5" t="s">
        <v>166</v>
      </c>
      <c r="BA103" s="5">
        <v>2346</v>
      </c>
    </row>
    <row r="104" ht="17" customHeight="1" spans="1:53">
      <c r="A104" s="31">
        <v>66</v>
      </c>
      <c r="B104" s="51" t="s">
        <v>150</v>
      </c>
      <c r="C104" s="31" t="s">
        <v>90</v>
      </c>
      <c r="D104" s="31">
        <v>2017</v>
      </c>
      <c r="E104" s="31"/>
      <c r="F104" s="31"/>
      <c r="G104" s="189">
        <f t="shared" si="195"/>
        <v>513</v>
      </c>
      <c r="H104" s="189">
        <f t="shared" si="196"/>
        <v>282.534357048525</v>
      </c>
      <c r="I104" s="189">
        <v>13190</v>
      </c>
      <c r="J104" s="44">
        <f t="shared" si="183"/>
        <v>5276</v>
      </c>
      <c r="K104" s="44">
        <f t="shared" si="184"/>
        <v>0</v>
      </c>
      <c r="L104" s="44">
        <f t="shared" si="185"/>
        <v>5276</v>
      </c>
      <c r="M104" s="44">
        <f t="shared" si="186"/>
        <v>0</v>
      </c>
      <c r="N104" s="44">
        <f t="shared" si="187"/>
        <v>0</v>
      </c>
      <c r="O104" s="44">
        <f t="shared" si="188"/>
        <v>0</v>
      </c>
      <c r="P104" s="44">
        <v>4350</v>
      </c>
      <c r="Q104" s="44">
        <v>1167</v>
      </c>
      <c r="R104" s="44">
        <f t="shared" si="197"/>
        <v>700.2</v>
      </c>
      <c r="S104" s="44"/>
      <c r="T104" s="44">
        <f>Q104*0.6</f>
        <v>700.2</v>
      </c>
      <c r="U104" s="44"/>
      <c r="V104" s="44"/>
      <c r="W104" s="44">
        <f t="shared" si="198"/>
        <v>155.552750140998</v>
      </c>
      <c r="X104" s="76">
        <v>12949</v>
      </c>
      <c r="Y104" s="115">
        <f t="shared" si="199"/>
        <v>0</v>
      </c>
      <c r="Z104" s="44">
        <f t="shared" si="200"/>
        <v>0</v>
      </c>
      <c r="AA104" s="44"/>
      <c r="AB104" s="44"/>
      <c r="AC104" s="44"/>
      <c r="AD104" s="76"/>
      <c r="AE104" s="44">
        <f t="shared" si="201"/>
        <v>0</v>
      </c>
      <c r="AF104" s="44"/>
      <c r="AG104" s="44">
        <v>3</v>
      </c>
      <c r="AH104" s="44"/>
      <c r="AI104" s="44"/>
      <c r="AJ104" s="115">
        <f>VLOOKUP(B:B,'表6资金使用成效（12月30日）'!B:L,11,0)</f>
        <v>0.946806411837238</v>
      </c>
      <c r="AK104" s="44">
        <f t="shared" si="202"/>
        <v>60.9948269507954</v>
      </c>
      <c r="AL104" s="76">
        <v>91.07</v>
      </c>
      <c r="AM104" s="44">
        <f t="shared" si="203"/>
        <v>60.4984194750738</v>
      </c>
      <c r="AN104" s="67">
        <f t="shared" si="204"/>
        <v>277</v>
      </c>
      <c r="AO104" s="67">
        <f t="shared" si="189"/>
        <v>-236</v>
      </c>
      <c r="AP104" s="125">
        <f t="shared" si="125"/>
        <v>-0.460038986354776</v>
      </c>
      <c r="AQ104" s="44">
        <f t="shared" si="190"/>
        <v>-5.53435704852501</v>
      </c>
      <c r="AR104" s="198">
        <f t="shared" si="126"/>
        <v>-0.0195882621368221</v>
      </c>
      <c r="AZ104" s="5" t="s">
        <v>167</v>
      </c>
      <c r="BA104" s="5">
        <v>1998</v>
      </c>
    </row>
    <row r="105" ht="17" customHeight="1" spans="1:53">
      <c r="A105" s="31">
        <v>67</v>
      </c>
      <c r="B105" s="51" t="s">
        <v>151</v>
      </c>
      <c r="C105" s="31" t="s">
        <v>90</v>
      </c>
      <c r="D105" s="31">
        <v>2019</v>
      </c>
      <c r="E105" s="31" t="s">
        <v>91</v>
      </c>
      <c r="F105" s="31"/>
      <c r="G105" s="189">
        <f t="shared" si="195"/>
        <v>3202</v>
      </c>
      <c r="H105" s="189">
        <f t="shared" si="196"/>
        <v>1763.49904730873</v>
      </c>
      <c r="I105" s="189">
        <v>91117</v>
      </c>
      <c r="J105" s="44">
        <f t="shared" si="183"/>
        <v>72893.6</v>
      </c>
      <c r="K105" s="44">
        <f t="shared" si="184"/>
        <v>0</v>
      </c>
      <c r="L105" s="44">
        <f t="shared" si="185"/>
        <v>0</v>
      </c>
      <c r="M105" s="44">
        <f t="shared" si="186"/>
        <v>0</v>
      </c>
      <c r="N105" s="44">
        <f t="shared" si="187"/>
        <v>72893.6</v>
      </c>
      <c r="O105" s="44">
        <f t="shared" si="188"/>
        <v>0</v>
      </c>
      <c r="P105" s="44">
        <v>11458</v>
      </c>
      <c r="Q105" s="44">
        <v>17710</v>
      </c>
      <c r="R105" s="44">
        <f t="shared" si="197"/>
        <v>17710</v>
      </c>
      <c r="S105" s="44"/>
      <c r="T105" s="44"/>
      <c r="U105" s="44"/>
      <c r="V105" s="44">
        <f t="shared" ref="V105:V107" si="205">Q105*1</f>
        <v>17710</v>
      </c>
      <c r="W105" s="44">
        <f t="shared" si="198"/>
        <v>1404.11448211245</v>
      </c>
      <c r="X105" s="76">
        <v>12142</v>
      </c>
      <c r="Y105" s="115">
        <f t="shared" si="199"/>
        <v>0.132450331125828</v>
      </c>
      <c r="Z105" s="44">
        <f t="shared" si="200"/>
        <v>329.450015718328</v>
      </c>
      <c r="AA105" s="44"/>
      <c r="AB105" s="44"/>
      <c r="AC105" s="44"/>
      <c r="AD105" s="76">
        <f t="shared" ref="AD105:AD112" si="206">J105</f>
        <v>72893.6</v>
      </c>
      <c r="AE105" s="44"/>
      <c r="AF105" s="44"/>
      <c r="AG105" s="44">
        <v>4</v>
      </c>
      <c r="AH105" s="44"/>
      <c r="AI105" s="44"/>
      <c r="AJ105" s="115">
        <f>VLOOKUP(B:B,'表6资金使用成效（12月30日）'!B:L,11,0)</f>
        <v>0.934409549636884</v>
      </c>
      <c r="AK105" s="44">
        <f t="shared" si="202"/>
        <v>60.1962006897246</v>
      </c>
      <c r="AL105" s="76">
        <v>92.31</v>
      </c>
      <c r="AM105" s="44">
        <f t="shared" si="203"/>
        <v>61.3221598961684</v>
      </c>
      <c r="AN105" s="67">
        <f t="shared" si="204"/>
        <v>1855</v>
      </c>
      <c r="AO105" s="67">
        <f t="shared" si="189"/>
        <v>-1347</v>
      </c>
      <c r="AP105" s="125">
        <f t="shared" si="125"/>
        <v>-0.420674578388507</v>
      </c>
      <c r="AQ105" s="44">
        <f t="shared" si="190"/>
        <v>91.50095269127</v>
      </c>
      <c r="AR105" s="198">
        <f t="shared" si="126"/>
        <v>0.0518860233187589</v>
      </c>
      <c r="AZ105" s="5" t="s">
        <v>168</v>
      </c>
      <c r="BA105" s="5">
        <v>367</v>
      </c>
    </row>
    <row r="106" ht="17" customHeight="1" spans="1:53">
      <c r="A106" s="31">
        <v>68</v>
      </c>
      <c r="B106" s="51" t="s">
        <v>153</v>
      </c>
      <c r="C106" s="31" t="s">
        <v>90</v>
      </c>
      <c r="D106" s="31">
        <v>2018</v>
      </c>
      <c r="E106" s="31"/>
      <c r="F106" s="31"/>
      <c r="G106" s="189">
        <f t="shared" si="195"/>
        <v>2082</v>
      </c>
      <c r="H106" s="189">
        <f t="shared" si="196"/>
        <v>1146.65990521448</v>
      </c>
      <c r="I106" s="189">
        <v>49007</v>
      </c>
      <c r="J106" s="44">
        <f t="shared" si="183"/>
        <v>29404.2</v>
      </c>
      <c r="K106" s="44">
        <f t="shared" si="184"/>
        <v>0</v>
      </c>
      <c r="L106" s="44">
        <f t="shared" si="185"/>
        <v>0</v>
      </c>
      <c r="M106" s="44">
        <f t="shared" si="186"/>
        <v>29404.2</v>
      </c>
      <c r="N106" s="44">
        <f t="shared" si="187"/>
        <v>0</v>
      </c>
      <c r="O106" s="44">
        <f t="shared" si="188"/>
        <v>0</v>
      </c>
      <c r="P106" s="44">
        <v>8606</v>
      </c>
      <c r="Q106" s="44">
        <v>14292</v>
      </c>
      <c r="R106" s="44">
        <f t="shared" si="197"/>
        <v>14292</v>
      </c>
      <c r="S106" s="44"/>
      <c r="T106" s="44"/>
      <c r="U106" s="44"/>
      <c r="V106" s="44">
        <f t="shared" si="205"/>
        <v>14292</v>
      </c>
      <c r="W106" s="44">
        <f t="shared" si="198"/>
        <v>752.984827179985</v>
      </c>
      <c r="X106" s="76">
        <v>13143</v>
      </c>
      <c r="Y106" s="115">
        <f t="shared" si="199"/>
        <v>0</v>
      </c>
      <c r="Z106" s="44">
        <f t="shared" si="200"/>
        <v>0</v>
      </c>
      <c r="AA106" s="44"/>
      <c r="AB106" s="44"/>
      <c r="AC106" s="44"/>
      <c r="AD106" s="76"/>
      <c r="AE106" s="44">
        <f t="shared" si="201"/>
        <v>0</v>
      </c>
      <c r="AF106" s="44"/>
      <c r="AG106" s="44">
        <v>5</v>
      </c>
      <c r="AH106" s="44"/>
      <c r="AI106" s="44"/>
      <c r="AJ106" s="115">
        <f>VLOOKUP(B:B,'表6资金使用成效（12月30日）'!B:L,11,0)</f>
        <v>0.921116530590605</v>
      </c>
      <c r="AK106" s="44">
        <f t="shared" si="202"/>
        <v>59.3398425300792</v>
      </c>
      <c r="AL106" s="76">
        <v>92.68</v>
      </c>
      <c r="AM106" s="44">
        <f t="shared" si="203"/>
        <v>61.5679534089144</v>
      </c>
      <c r="AN106" s="67">
        <f t="shared" si="204"/>
        <v>874</v>
      </c>
      <c r="AO106" s="67">
        <f t="shared" si="189"/>
        <v>-1208</v>
      </c>
      <c r="AP106" s="125">
        <f t="shared" si="125"/>
        <v>-0.580211335254563</v>
      </c>
      <c r="AQ106" s="44">
        <f t="shared" si="190"/>
        <v>-272.65990521448</v>
      </c>
      <c r="AR106" s="198">
        <f t="shared" si="126"/>
        <v>-0.237786203192898</v>
      </c>
      <c r="AZ106" s="5" t="s">
        <v>169</v>
      </c>
      <c r="BA106" s="5">
        <v>1082</v>
      </c>
    </row>
    <row r="107" ht="17" customHeight="1" spans="1:53">
      <c r="A107" s="31">
        <v>69</v>
      </c>
      <c r="B107" s="51" t="s">
        <v>154</v>
      </c>
      <c r="C107" s="31" t="s">
        <v>90</v>
      </c>
      <c r="D107" s="31">
        <v>2018</v>
      </c>
      <c r="E107" s="31"/>
      <c r="F107" s="31"/>
      <c r="G107" s="189">
        <f t="shared" si="195"/>
        <v>1919</v>
      </c>
      <c r="H107" s="189">
        <f t="shared" si="196"/>
        <v>1056.88778007041</v>
      </c>
      <c r="I107" s="189">
        <v>33371</v>
      </c>
      <c r="J107" s="44">
        <f t="shared" si="183"/>
        <v>20022.6</v>
      </c>
      <c r="K107" s="44">
        <f t="shared" si="184"/>
        <v>0</v>
      </c>
      <c r="L107" s="44">
        <f t="shared" si="185"/>
        <v>0</v>
      </c>
      <c r="M107" s="44">
        <f t="shared" si="186"/>
        <v>20022.6</v>
      </c>
      <c r="N107" s="44">
        <f t="shared" si="187"/>
        <v>0</v>
      </c>
      <c r="O107" s="44">
        <f t="shared" si="188"/>
        <v>0</v>
      </c>
      <c r="P107" s="44">
        <v>3067</v>
      </c>
      <c r="Q107" s="44">
        <v>10988</v>
      </c>
      <c r="R107" s="44">
        <f t="shared" si="197"/>
        <v>10988</v>
      </c>
      <c r="S107" s="44"/>
      <c r="T107" s="44"/>
      <c r="U107" s="44"/>
      <c r="V107" s="44">
        <f t="shared" si="205"/>
        <v>10988</v>
      </c>
      <c r="W107" s="44">
        <f t="shared" si="198"/>
        <v>482.738434074347</v>
      </c>
      <c r="X107" s="76">
        <v>13141</v>
      </c>
      <c r="Y107" s="115">
        <f t="shared" si="199"/>
        <v>0</v>
      </c>
      <c r="Z107" s="44">
        <f t="shared" si="200"/>
        <v>0</v>
      </c>
      <c r="AA107" s="44"/>
      <c r="AB107" s="44"/>
      <c r="AC107" s="44"/>
      <c r="AD107" s="76"/>
      <c r="AE107" s="44">
        <f t="shared" si="201"/>
        <v>0</v>
      </c>
      <c r="AF107" s="44"/>
      <c r="AG107" s="44">
        <v>4</v>
      </c>
      <c r="AH107" s="44"/>
      <c r="AI107" s="44"/>
      <c r="AJ107" s="115">
        <f>VLOOKUP(B:B,'表6资金使用成效（12月30日）'!B:L,11,0)</f>
        <v>0.961451077647151</v>
      </c>
      <c r="AK107" s="44">
        <f t="shared" si="202"/>
        <v>61.9382604189894</v>
      </c>
      <c r="AL107" s="76">
        <v>91.13</v>
      </c>
      <c r="AM107" s="44">
        <f t="shared" si="203"/>
        <v>60.5382778825461</v>
      </c>
      <c r="AN107" s="67">
        <f t="shared" si="204"/>
        <v>605</v>
      </c>
      <c r="AO107" s="67">
        <f t="shared" si="189"/>
        <v>-1314</v>
      </c>
      <c r="AP107" s="125">
        <f t="shared" si="125"/>
        <v>-0.684731631057843</v>
      </c>
      <c r="AQ107" s="44">
        <f t="shared" si="190"/>
        <v>-451.88778007041</v>
      </c>
      <c r="AR107" s="198">
        <f t="shared" si="126"/>
        <v>-0.427564580262538</v>
      </c>
      <c r="AZ107" s="5" t="s">
        <v>170</v>
      </c>
      <c r="BA107" s="5">
        <v>1219</v>
      </c>
    </row>
    <row r="108" ht="17" customHeight="1" spans="1:53">
      <c r="A108" s="31">
        <v>70</v>
      </c>
      <c r="B108" s="51" t="s">
        <v>152</v>
      </c>
      <c r="C108" s="31" t="s">
        <v>90</v>
      </c>
      <c r="D108" s="31">
        <v>2019</v>
      </c>
      <c r="E108" s="31" t="s">
        <v>91</v>
      </c>
      <c r="F108" s="31"/>
      <c r="G108" s="189">
        <f t="shared" si="195"/>
        <v>1878</v>
      </c>
      <c r="H108" s="189">
        <f t="shared" si="196"/>
        <v>1034.30706147589</v>
      </c>
      <c r="I108" s="189">
        <v>60317</v>
      </c>
      <c r="J108" s="44">
        <f t="shared" si="183"/>
        <v>48253.6</v>
      </c>
      <c r="K108" s="44">
        <f t="shared" si="184"/>
        <v>0</v>
      </c>
      <c r="L108" s="44">
        <f t="shared" si="185"/>
        <v>0</v>
      </c>
      <c r="M108" s="44">
        <f t="shared" si="186"/>
        <v>0</v>
      </c>
      <c r="N108" s="44">
        <f t="shared" si="187"/>
        <v>48253.6</v>
      </c>
      <c r="O108" s="44">
        <f t="shared" si="188"/>
        <v>0</v>
      </c>
      <c r="P108" s="44">
        <v>8638</v>
      </c>
      <c r="Q108" s="44">
        <v>8913</v>
      </c>
      <c r="R108" s="44">
        <f t="shared" si="197"/>
        <v>7130.4</v>
      </c>
      <c r="S108" s="44"/>
      <c r="T108" s="44"/>
      <c r="U108" s="44">
        <f>Q108*0.8</f>
        <v>7130.4</v>
      </c>
      <c r="V108" s="44"/>
      <c r="W108" s="44">
        <f t="shared" si="198"/>
        <v>874.532263783832</v>
      </c>
      <c r="X108" s="76">
        <v>12835</v>
      </c>
      <c r="Y108" s="115">
        <f t="shared" si="199"/>
        <v>0.00132450331125828</v>
      </c>
      <c r="Z108" s="44">
        <f t="shared" si="200"/>
        <v>3.29450015718328</v>
      </c>
      <c r="AA108" s="44"/>
      <c r="AB108" s="44"/>
      <c r="AC108" s="44"/>
      <c r="AD108" s="76">
        <f t="shared" si="206"/>
        <v>48253.6</v>
      </c>
      <c r="AE108" s="44">
        <f>H108-W108-Z108-AC108-AK108-AM108</f>
        <v>54.1816914677545</v>
      </c>
      <c r="AF108" s="44"/>
      <c r="AG108" s="44">
        <v>5</v>
      </c>
      <c r="AH108" s="44"/>
      <c r="AI108" s="44"/>
      <c r="AJ108" s="115">
        <f>VLOOKUP(B:B,'表6资金使用成效（12月30日）'!B:L,11,0)</f>
        <v>0.721139252046752</v>
      </c>
      <c r="AK108" s="44">
        <f t="shared" si="202"/>
        <v>46.456977198396</v>
      </c>
      <c r="AL108" s="76">
        <v>84.06</v>
      </c>
      <c r="AM108" s="44">
        <f t="shared" si="203"/>
        <v>55.8416288687241</v>
      </c>
      <c r="AN108" s="67">
        <f t="shared" si="204"/>
        <v>1034</v>
      </c>
      <c r="AO108" s="67">
        <f t="shared" si="189"/>
        <v>-844</v>
      </c>
      <c r="AP108" s="125">
        <f t="shared" si="125"/>
        <v>-0.449414270500533</v>
      </c>
      <c r="AQ108" s="44">
        <f t="shared" si="190"/>
        <v>-0.307061475889896</v>
      </c>
      <c r="AR108" s="198">
        <f t="shared" si="126"/>
        <v>-0.000296876515037748</v>
      </c>
      <c r="AZ108" s="5" t="s">
        <v>171</v>
      </c>
      <c r="BA108" s="5">
        <v>1437</v>
      </c>
    </row>
    <row r="109" ht="17" customHeight="1" spans="1:53">
      <c r="A109" s="31">
        <v>71</v>
      </c>
      <c r="B109" s="51" t="s">
        <v>155</v>
      </c>
      <c r="C109" s="31" t="s">
        <v>93</v>
      </c>
      <c r="D109" s="31">
        <v>2019</v>
      </c>
      <c r="E109" s="31" t="s">
        <v>91</v>
      </c>
      <c r="F109" s="31" t="s">
        <v>146</v>
      </c>
      <c r="G109" s="189">
        <f t="shared" si="195"/>
        <v>4785</v>
      </c>
      <c r="H109" s="189">
        <f t="shared" si="196"/>
        <v>2635.33508475087</v>
      </c>
      <c r="I109" s="189">
        <v>35696</v>
      </c>
      <c r="J109" s="44">
        <f t="shared" si="183"/>
        <v>28556.8</v>
      </c>
      <c r="K109" s="44">
        <f t="shared" si="184"/>
        <v>0</v>
      </c>
      <c r="L109" s="44">
        <f t="shared" si="185"/>
        <v>0</v>
      </c>
      <c r="M109" s="44">
        <f t="shared" si="186"/>
        <v>0</v>
      </c>
      <c r="N109" s="44">
        <f t="shared" si="187"/>
        <v>28556.8</v>
      </c>
      <c r="O109" s="44">
        <f t="shared" si="188"/>
        <v>0</v>
      </c>
      <c r="P109" s="44">
        <v>2943</v>
      </c>
      <c r="Q109" s="44">
        <v>9378</v>
      </c>
      <c r="R109" s="44">
        <f t="shared" si="197"/>
        <v>7502.4</v>
      </c>
      <c r="S109" s="44"/>
      <c r="T109" s="44"/>
      <c r="U109" s="44">
        <f>Q109*0.8</f>
        <v>7502.4</v>
      </c>
      <c r="V109" s="44"/>
      <c r="W109" s="44">
        <f t="shared" si="198"/>
        <v>531.36986590342</v>
      </c>
      <c r="X109" s="76">
        <v>11879</v>
      </c>
      <c r="Y109" s="115">
        <f t="shared" si="199"/>
        <v>0.182213812677389</v>
      </c>
      <c r="Z109" s="44">
        <f t="shared" si="200"/>
        <v>453.2290930525</v>
      </c>
      <c r="AA109" s="44">
        <v>11</v>
      </c>
      <c r="AB109" s="44"/>
      <c r="AC109" s="44"/>
      <c r="AD109" s="76">
        <f t="shared" si="206"/>
        <v>28556.8</v>
      </c>
      <c r="AE109" s="44">
        <f>H109-W109-Z109-AC109-AK109-AM109</f>
        <v>1534.32251694819</v>
      </c>
      <c r="AF109" s="44"/>
      <c r="AG109" s="44"/>
      <c r="AH109" s="44"/>
      <c r="AI109" s="44"/>
      <c r="AJ109" s="115">
        <f>VLOOKUP(B:B,'表6资金使用成效（12月30日）'!B:L,11,0)</f>
        <v>0.947460971043319</v>
      </c>
      <c r="AK109" s="44">
        <f t="shared" si="202"/>
        <v>61.0369947318802</v>
      </c>
      <c r="AL109" s="76">
        <v>83.36</v>
      </c>
      <c r="AM109" s="44">
        <f t="shared" si="203"/>
        <v>55.3766141148803</v>
      </c>
      <c r="AN109" s="67">
        <f t="shared" si="204"/>
        <v>2635</v>
      </c>
      <c r="AO109" s="67">
        <f t="shared" si="189"/>
        <v>-2150</v>
      </c>
      <c r="AP109" s="125">
        <f t="shared" si="125"/>
        <v>-0.44932079414838</v>
      </c>
      <c r="AQ109" s="44">
        <f t="shared" si="190"/>
        <v>-0.33508475087001</v>
      </c>
      <c r="AR109" s="198">
        <f t="shared" si="126"/>
        <v>-0.000127150719014424</v>
      </c>
      <c r="AZ109" s="5" t="s">
        <v>172</v>
      </c>
      <c r="BA109" s="5">
        <v>2941</v>
      </c>
    </row>
    <row r="110" ht="17" customHeight="1" spans="1:53">
      <c r="A110" s="31">
        <v>72</v>
      </c>
      <c r="B110" s="51" t="s">
        <v>157</v>
      </c>
      <c r="C110" s="31" t="s">
        <v>93</v>
      </c>
      <c r="D110" s="31">
        <v>2020</v>
      </c>
      <c r="E110" s="31" t="s">
        <v>94</v>
      </c>
      <c r="F110" s="31" t="s">
        <v>146</v>
      </c>
      <c r="G110" s="189">
        <f t="shared" si="195"/>
        <v>5879</v>
      </c>
      <c r="H110" s="189">
        <f t="shared" si="196"/>
        <v>3237.85474676078</v>
      </c>
      <c r="I110" s="189">
        <v>196287</v>
      </c>
      <c r="J110" s="44">
        <f t="shared" si="183"/>
        <v>196287</v>
      </c>
      <c r="K110" s="44">
        <f t="shared" si="184"/>
        <v>0</v>
      </c>
      <c r="L110" s="44">
        <f t="shared" si="185"/>
        <v>0</v>
      </c>
      <c r="M110" s="44">
        <f t="shared" si="186"/>
        <v>0</v>
      </c>
      <c r="N110" s="44">
        <f t="shared" si="187"/>
        <v>0</v>
      </c>
      <c r="O110" s="44">
        <f t="shared" si="188"/>
        <v>196287</v>
      </c>
      <c r="P110" s="44">
        <v>32737</v>
      </c>
      <c r="Q110" s="44">
        <v>17210</v>
      </c>
      <c r="R110" s="44">
        <f t="shared" si="197"/>
        <v>17210</v>
      </c>
      <c r="S110" s="44"/>
      <c r="T110" s="44"/>
      <c r="U110" s="44"/>
      <c r="V110" s="44">
        <f>Q110*1</f>
        <v>17210</v>
      </c>
      <c r="W110" s="44">
        <f t="shared" si="198"/>
        <v>3324.55965848669</v>
      </c>
      <c r="X110" s="76">
        <v>11779</v>
      </c>
      <c r="Y110" s="115">
        <f t="shared" si="199"/>
        <v>0.201135288552507</v>
      </c>
      <c r="Z110" s="44">
        <f t="shared" si="200"/>
        <v>500.29338101226</v>
      </c>
      <c r="AA110" s="44">
        <v>8</v>
      </c>
      <c r="AB110" s="44"/>
      <c r="AC110" s="44"/>
      <c r="AD110" s="76">
        <f t="shared" si="206"/>
        <v>196287</v>
      </c>
      <c r="AE110" s="44"/>
      <c r="AF110" s="44"/>
      <c r="AG110" s="44"/>
      <c r="AH110" s="44"/>
      <c r="AI110" s="44"/>
      <c r="AJ110" s="115">
        <f>VLOOKUP(B:B,'表6资金使用成效（12月30日）'!B:L,11,0)</f>
        <v>0.934215523203999</v>
      </c>
      <c r="AK110" s="44">
        <f t="shared" si="202"/>
        <v>60.183701187662</v>
      </c>
      <c r="AL110" s="76">
        <v>85.51</v>
      </c>
      <c r="AM110" s="44">
        <f t="shared" si="203"/>
        <v>56.8048737159719</v>
      </c>
      <c r="AN110" s="67">
        <f t="shared" si="204"/>
        <v>3942</v>
      </c>
      <c r="AO110" s="67">
        <f t="shared" si="189"/>
        <v>-1937</v>
      </c>
      <c r="AP110" s="125">
        <f t="shared" si="125"/>
        <v>-0.329477802347338</v>
      </c>
      <c r="AQ110" s="44">
        <f t="shared" si="190"/>
        <v>704.14525323922</v>
      </c>
      <c r="AR110" s="198">
        <f t="shared" si="126"/>
        <v>0.217472773892548</v>
      </c>
      <c r="AZ110" s="5" t="s">
        <v>173</v>
      </c>
      <c r="BA110" s="5">
        <v>2078</v>
      </c>
    </row>
    <row r="111" ht="17" customHeight="1" spans="1:53">
      <c r="A111" s="31">
        <v>73</v>
      </c>
      <c r="B111" s="51" t="s">
        <v>156</v>
      </c>
      <c r="C111" s="31" t="s">
        <v>90</v>
      </c>
      <c r="D111" s="31">
        <v>2018</v>
      </c>
      <c r="E111" s="31" t="s">
        <v>91</v>
      </c>
      <c r="F111" s="31" t="s">
        <v>146</v>
      </c>
      <c r="G111" s="189">
        <f t="shared" si="195"/>
        <v>3363</v>
      </c>
      <c r="H111" s="189">
        <f t="shared" si="196"/>
        <v>1852.16967398478</v>
      </c>
      <c r="I111" s="189">
        <v>28213</v>
      </c>
      <c r="J111" s="44">
        <f t="shared" si="183"/>
        <v>16927.8</v>
      </c>
      <c r="K111" s="44">
        <f t="shared" si="184"/>
        <v>0</v>
      </c>
      <c r="L111" s="44">
        <f t="shared" si="185"/>
        <v>0</v>
      </c>
      <c r="M111" s="44">
        <f t="shared" si="186"/>
        <v>16927.8</v>
      </c>
      <c r="N111" s="44">
        <f t="shared" si="187"/>
        <v>0</v>
      </c>
      <c r="O111" s="44">
        <f t="shared" si="188"/>
        <v>0</v>
      </c>
      <c r="P111" s="44">
        <v>3750</v>
      </c>
      <c r="Q111" s="44">
        <v>214</v>
      </c>
      <c r="R111" s="44">
        <f t="shared" si="197"/>
        <v>85.6</v>
      </c>
      <c r="S111" s="44">
        <f t="shared" ref="S111:S118" si="207">Q111*0.4</f>
        <v>85.6</v>
      </c>
      <c r="T111" s="44"/>
      <c r="U111" s="44"/>
      <c r="V111" s="44"/>
      <c r="W111" s="44">
        <f t="shared" si="198"/>
        <v>280.870728137674</v>
      </c>
      <c r="X111" s="76">
        <v>11934</v>
      </c>
      <c r="Y111" s="115">
        <f t="shared" si="199"/>
        <v>0.171807000946074</v>
      </c>
      <c r="Z111" s="44">
        <f t="shared" si="200"/>
        <v>427.343734674631</v>
      </c>
      <c r="AA111" s="44">
        <v>11</v>
      </c>
      <c r="AB111" s="44"/>
      <c r="AC111" s="44"/>
      <c r="AD111" s="76">
        <f t="shared" si="206"/>
        <v>16927.8</v>
      </c>
      <c r="AE111" s="44">
        <f>H111-W111-Z111-AC111-AK111-AM111</f>
        <v>1021.31543293817</v>
      </c>
      <c r="AF111" s="44"/>
      <c r="AG111" s="44"/>
      <c r="AH111" s="44"/>
      <c r="AI111" s="44"/>
      <c r="AJ111" s="115">
        <f>VLOOKUP(B:B,'表6资金使用成效（12月30日）'!B:L,11,0)</f>
        <v>0.954085624876555</v>
      </c>
      <c r="AK111" s="44">
        <f t="shared" si="202"/>
        <v>61.4637658321974</v>
      </c>
      <c r="AL111" s="76">
        <v>92.09</v>
      </c>
      <c r="AM111" s="44">
        <f t="shared" si="203"/>
        <v>61.1760124021033</v>
      </c>
      <c r="AN111" s="67">
        <f t="shared" si="204"/>
        <v>1852</v>
      </c>
      <c r="AO111" s="67">
        <f t="shared" si="189"/>
        <v>-1511</v>
      </c>
      <c r="AP111" s="125">
        <f t="shared" si="125"/>
        <v>-0.449301219149569</v>
      </c>
      <c r="AQ111" s="44">
        <f t="shared" si="190"/>
        <v>-0.169673984780047</v>
      </c>
      <c r="AR111" s="198">
        <f t="shared" si="126"/>
        <v>-9.16082296148433e-5</v>
      </c>
      <c r="AZ111" s="5" t="s">
        <v>174</v>
      </c>
      <c r="BA111" s="5">
        <v>5313</v>
      </c>
    </row>
    <row r="112" ht="17" customHeight="1" spans="1:53">
      <c r="A112" s="31">
        <v>74</v>
      </c>
      <c r="B112" s="51" t="s">
        <v>158</v>
      </c>
      <c r="C112" s="31" t="s">
        <v>90</v>
      </c>
      <c r="D112" s="31">
        <v>2018</v>
      </c>
      <c r="E112" s="31" t="s">
        <v>91</v>
      </c>
      <c r="F112" s="31" t="s">
        <v>146</v>
      </c>
      <c r="G112" s="189">
        <f t="shared" si="195"/>
        <v>4633</v>
      </c>
      <c r="H112" s="189">
        <f t="shared" si="196"/>
        <v>2551.62120118093</v>
      </c>
      <c r="I112" s="189">
        <v>29707</v>
      </c>
      <c r="J112" s="44">
        <f t="shared" si="183"/>
        <v>17824.2</v>
      </c>
      <c r="K112" s="44">
        <f t="shared" si="184"/>
        <v>0</v>
      </c>
      <c r="L112" s="44">
        <f t="shared" si="185"/>
        <v>0</v>
      </c>
      <c r="M112" s="44">
        <f t="shared" si="186"/>
        <v>17824.2</v>
      </c>
      <c r="N112" s="44">
        <f t="shared" si="187"/>
        <v>0</v>
      </c>
      <c r="O112" s="44">
        <f t="shared" si="188"/>
        <v>0</v>
      </c>
      <c r="P112" s="44">
        <v>4533</v>
      </c>
      <c r="Q112" s="44">
        <v>218</v>
      </c>
      <c r="R112" s="44">
        <f t="shared" si="197"/>
        <v>87.2</v>
      </c>
      <c r="S112" s="44">
        <f t="shared" si="207"/>
        <v>87.2</v>
      </c>
      <c r="T112" s="44"/>
      <c r="U112" s="44"/>
      <c r="V112" s="44"/>
      <c r="W112" s="44">
        <f t="shared" si="198"/>
        <v>306.201076327773</v>
      </c>
      <c r="X112" s="76">
        <v>11736</v>
      </c>
      <c r="Y112" s="115">
        <f t="shared" si="199"/>
        <v>0.209271523178808</v>
      </c>
      <c r="Z112" s="44">
        <f t="shared" si="200"/>
        <v>520.531024834958</v>
      </c>
      <c r="AA112" s="44">
        <v>14</v>
      </c>
      <c r="AB112" s="44"/>
      <c r="AC112" s="44"/>
      <c r="AD112" s="76">
        <f t="shared" si="206"/>
        <v>17824.2</v>
      </c>
      <c r="AE112" s="44">
        <f>H112-W112-Z112-AC112-AK112-AM112</f>
        <v>1599.73429697966</v>
      </c>
      <c r="AF112" s="44"/>
      <c r="AG112" s="44"/>
      <c r="AH112" s="44"/>
      <c r="AI112" s="44"/>
      <c r="AJ112" s="115">
        <f>VLOOKUP(B:B,'表6资金使用成效（12月30日）'!B:L,11,0)</f>
        <v>0.98240135213421</v>
      </c>
      <c r="AK112" s="44">
        <f t="shared" si="202"/>
        <v>63.2879115735799</v>
      </c>
      <c r="AL112" s="76">
        <v>93.13</v>
      </c>
      <c r="AM112" s="44">
        <f t="shared" si="203"/>
        <v>61.8668914649568</v>
      </c>
      <c r="AN112" s="67">
        <f t="shared" si="204"/>
        <v>2552</v>
      </c>
      <c r="AO112" s="67">
        <f t="shared" si="189"/>
        <v>-2081</v>
      </c>
      <c r="AP112" s="125">
        <f t="shared" si="125"/>
        <v>-0.449169004964386</v>
      </c>
      <c r="AQ112" s="44">
        <f t="shared" si="190"/>
        <v>0.378798819070198</v>
      </c>
      <c r="AR112" s="198">
        <f t="shared" si="126"/>
        <v>0.000148454174504775</v>
      </c>
      <c r="AZ112" s="5" t="s">
        <v>175</v>
      </c>
      <c r="BA112" s="5">
        <v>1380</v>
      </c>
    </row>
    <row r="113" s="6" customFormat="1" ht="27" customHeight="1" spans="1:75">
      <c r="A113" s="39"/>
      <c r="B113" s="40" t="s">
        <v>159</v>
      </c>
      <c r="C113" s="41">
        <v>1</v>
      </c>
      <c r="D113" s="41"/>
      <c r="E113" s="41"/>
      <c r="F113" s="41"/>
      <c r="G113" s="119">
        <f>G114+G115</f>
        <v>2997</v>
      </c>
      <c r="H113" s="119">
        <f>H114+H115</f>
        <v>1650.59545433612</v>
      </c>
      <c r="I113" s="119">
        <f t="shared" ref="I113:O113" si="208">I114+I115</f>
        <v>66152</v>
      </c>
      <c r="J113" s="43">
        <f t="shared" si="208"/>
        <v>28895.6</v>
      </c>
      <c r="K113" s="43">
        <f t="shared" si="208"/>
        <v>2629.6</v>
      </c>
      <c r="L113" s="43">
        <f t="shared" si="208"/>
        <v>11072.8</v>
      </c>
      <c r="M113" s="43">
        <f t="shared" si="208"/>
        <v>15193.2</v>
      </c>
      <c r="N113" s="43">
        <f t="shared" si="208"/>
        <v>0</v>
      </c>
      <c r="O113" s="43">
        <f t="shared" si="208"/>
        <v>0</v>
      </c>
      <c r="P113" s="43">
        <v>8518</v>
      </c>
      <c r="Q113" s="43">
        <f t="shared" ref="Q113:W113" si="209">Q114+Q115</f>
        <v>753</v>
      </c>
      <c r="R113" s="43">
        <f t="shared" si="209"/>
        <v>301.2</v>
      </c>
      <c r="S113" s="43">
        <f t="shared" si="209"/>
        <v>301.2</v>
      </c>
      <c r="T113" s="43">
        <f t="shared" si="209"/>
        <v>0</v>
      </c>
      <c r="U113" s="43">
        <f t="shared" si="209"/>
        <v>0</v>
      </c>
      <c r="V113" s="43">
        <f t="shared" si="209"/>
        <v>0</v>
      </c>
      <c r="W113" s="43">
        <f t="shared" si="209"/>
        <v>519.984725709759</v>
      </c>
      <c r="X113" s="77"/>
      <c r="Y113" s="118">
        <f t="shared" ref="Y113:AI113" si="210">Y114+Y115</f>
        <v>0.0122989593188269</v>
      </c>
      <c r="Z113" s="43">
        <f t="shared" si="210"/>
        <v>30.5917871738448</v>
      </c>
      <c r="AA113" s="43">
        <v>48</v>
      </c>
      <c r="AB113" s="43">
        <f t="shared" si="210"/>
        <v>42938.1764705883</v>
      </c>
      <c r="AC113" s="43">
        <f t="shared" si="210"/>
        <v>42938.1764705883</v>
      </c>
      <c r="AD113" s="54">
        <f t="shared" si="210"/>
        <v>0</v>
      </c>
      <c r="AE113" s="43">
        <f t="shared" si="210"/>
        <v>0</v>
      </c>
      <c r="AF113" s="119">
        <f t="shared" si="210"/>
        <v>0</v>
      </c>
      <c r="AG113" s="119">
        <f t="shared" si="210"/>
        <v>0</v>
      </c>
      <c r="AH113" s="119">
        <f t="shared" si="210"/>
        <v>0</v>
      </c>
      <c r="AI113" s="43">
        <f t="shared" si="210"/>
        <v>0</v>
      </c>
      <c r="AJ113" s="118"/>
      <c r="AK113" s="43">
        <f t="shared" ref="AK113:AO113" si="211">AK114+AK115</f>
        <v>173.115305661288</v>
      </c>
      <c r="AL113" s="54">
        <f t="shared" si="211"/>
        <v>277.44</v>
      </c>
      <c r="AM113" s="43">
        <f t="shared" si="211"/>
        <v>184.30527615202</v>
      </c>
      <c r="AN113" s="119">
        <f t="shared" si="211"/>
        <v>43846</v>
      </c>
      <c r="AO113" s="119">
        <f t="shared" si="211"/>
        <v>40849</v>
      </c>
      <c r="AP113" s="125">
        <f t="shared" si="125"/>
        <v>13.62996329663</v>
      </c>
      <c r="AQ113" s="118">
        <f>AQ114+AQ115</f>
        <v>42195.4045456639</v>
      </c>
      <c r="AR113" s="198">
        <f t="shared" si="126"/>
        <v>25.5637469707168</v>
      </c>
      <c r="AS113" s="5"/>
      <c r="AT113" s="5"/>
      <c r="AU113" s="5"/>
      <c r="AV113" s="5"/>
      <c r="AW113" s="5"/>
      <c r="AX113" s="5"/>
      <c r="AY113" s="5"/>
      <c r="AZ113" s="5" t="s">
        <v>176</v>
      </c>
      <c r="BA113" s="5">
        <v>16711</v>
      </c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</row>
    <row r="114" ht="30" customHeight="1" spans="1:53">
      <c r="A114" s="29"/>
      <c r="B114" s="30" t="s">
        <v>160</v>
      </c>
      <c r="C114" s="31">
        <v>2</v>
      </c>
      <c r="D114" s="31"/>
      <c r="E114" s="31"/>
      <c r="F114" s="31"/>
      <c r="G114" s="189"/>
      <c r="H114" s="189"/>
      <c r="I114" s="189"/>
      <c r="J114" s="44">
        <f t="shared" ref="J114:J118" si="212">SUM(K114:O114)</f>
        <v>0</v>
      </c>
      <c r="K114" s="44">
        <f t="shared" ref="K114:K118" si="213">IF(D114="",I114*0.2,0)</f>
        <v>0</v>
      </c>
      <c r="L114" s="44">
        <f t="shared" ref="L114:L118" si="214">IF(D114=2017,I114*0.4,0)</f>
        <v>0</v>
      </c>
      <c r="M114" s="44">
        <f t="shared" ref="M114:M118" si="215">IF(D114=2018,I114*0.6,0)</f>
        <v>0</v>
      </c>
      <c r="N114" s="44">
        <f t="shared" ref="N114:N118" si="216">IF(D114=2019,I114*0.8,0)</f>
        <v>0</v>
      </c>
      <c r="O114" s="44">
        <f t="shared" ref="O114:O118" si="217">IF(D114=2020,I114*1,0)</f>
        <v>0</v>
      </c>
      <c r="P114" s="44"/>
      <c r="Q114" s="44"/>
      <c r="R114" s="44">
        <f>N114*0.4+O114*0.6+P114*0.8+Q114*1</f>
        <v>0</v>
      </c>
      <c r="S114" s="44">
        <f>Q114-T114-U114-V114</f>
        <v>0</v>
      </c>
      <c r="T114" s="44"/>
      <c r="U114" s="44"/>
      <c r="V114" s="44"/>
      <c r="W114" s="44"/>
      <c r="X114" s="76"/>
      <c r="Y114" s="115"/>
      <c r="Z114" s="44"/>
      <c r="AA114" s="44"/>
      <c r="AB114" s="44"/>
      <c r="AC114" s="44"/>
      <c r="AD114" s="76"/>
      <c r="AE114" s="44"/>
      <c r="AF114" s="44"/>
      <c r="AG114" s="44"/>
      <c r="AH114" s="44"/>
      <c r="AI114" s="44"/>
      <c r="AJ114" s="115"/>
      <c r="AK114" s="44">
        <f>AJ114/$AJ$9*0.05*200000</f>
        <v>0</v>
      </c>
      <c r="AL114" s="76"/>
      <c r="AM114" s="44">
        <f>(AL114/$AL$9)*0.05*200000</f>
        <v>0</v>
      </c>
      <c r="AN114" s="67">
        <f>ROUND(AM114+AK114+AE114+AC114+Z114+W114,0)</f>
        <v>0</v>
      </c>
      <c r="AO114" s="67">
        <f t="shared" ref="AO114:AO118" si="218">AN114-G114</f>
        <v>0</v>
      </c>
      <c r="AP114" s="125"/>
      <c r="AQ114" s="115">
        <f t="shared" ref="AQ114:AQ118" si="219">AN114-H114</f>
        <v>0</v>
      </c>
      <c r="AR114" s="198"/>
      <c r="AZ114" s="5" t="s">
        <v>177</v>
      </c>
      <c r="BA114" s="5">
        <v>0</v>
      </c>
    </row>
    <row r="115" s="7" customFormat="1" ht="17" customHeight="1" spans="1:75">
      <c r="A115" s="45"/>
      <c r="B115" s="46" t="s">
        <v>76</v>
      </c>
      <c r="C115" s="47">
        <v>3</v>
      </c>
      <c r="D115" s="47"/>
      <c r="E115" s="47"/>
      <c r="F115" s="47"/>
      <c r="G115" s="121">
        <f>SUM(G116:G118)</f>
        <v>2997</v>
      </c>
      <c r="H115" s="121">
        <f>SUM(H116:H118)</f>
        <v>1650.59545433612</v>
      </c>
      <c r="I115" s="121">
        <f t="shared" ref="I115:O115" si="220">SUM(I116:I118)</f>
        <v>66152</v>
      </c>
      <c r="J115" s="49">
        <f t="shared" si="220"/>
        <v>28895.6</v>
      </c>
      <c r="K115" s="49">
        <f t="shared" si="220"/>
        <v>2629.6</v>
      </c>
      <c r="L115" s="49">
        <f t="shared" si="220"/>
        <v>11072.8</v>
      </c>
      <c r="M115" s="49">
        <f t="shared" si="220"/>
        <v>15193.2</v>
      </c>
      <c r="N115" s="49">
        <f t="shared" si="220"/>
        <v>0</v>
      </c>
      <c r="O115" s="49">
        <f t="shared" si="220"/>
        <v>0</v>
      </c>
      <c r="P115" s="49">
        <v>8518</v>
      </c>
      <c r="Q115" s="49">
        <f t="shared" ref="Q115:W115" si="221">SUM(Q116:Q118)</f>
        <v>753</v>
      </c>
      <c r="R115" s="49">
        <f t="shared" si="221"/>
        <v>301.2</v>
      </c>
      <c r="S115" s="49">
        <f t="shared" si="221"/>
        <v>301.2</v>
      </c>
      <c r="T115" s="49">
        <f t="shared" si="221"/>
        <v>0</v>
      </c>
      <c r="U115" s="49">
        <f t="shared" si="221"/>
        <v>0</v>
      </c>
      <c r="V115" s="49">
        <f t="shared" si="221"/>
        <v>0</v>
      </c>
      <c r="W115" s="49">
        <f t="shared" si="221"/>
        <v>519.984725709759</v>
      </c>
      <c r="X115" s="78"/>
      <c r="Y115" s="120">
        <f t="shared" ref="Y115:AI115" si="222">SUM(Y116:Y118)</f>
        <v>0.0122989593188269</v>
      </c>
      <c r="Z115" s="49">
        <f t="shared" si="222"/>
        <v>30.5917871738448</v>
      </c>
      <c r="AA115" s="49">
        <v>48</v>
      </c>
      <c r="AB115" s="49">
        <f t="shared" si="222"/>
        <v>42938.1764705883</v>
      </c>
      <c r="AC115" s="49">
        <f t="shared" si="222"/>
        <v>42938.1764705883</v>
      </c>
      <c r="AD115" s="55">
        <f t="shared" si="222"/>
        <v>0</v>
      </c>
      <c r="AE115" s="49">
        <f t="shared" si="222"/>
        <v>0</v>
      </c>
      <c r="AF115" s="121">
        <f t="shared" si="222"/>
        <v>0</v>
      </c>
      <c r="AG115" s="121">
        <f t="shared" si="222"/>
        <v>0</v>
      </c>
      <c r="AH115" s="121">
        <f t="shared" si="222"/>
        <v>0</v>
      </c>
      <c r="AI115" s="49">
        <f t="shared" si="222"/>
        <v>0</v>
      </c>
      <c r="AJ115" s="120"/>
      <c r="AK115" s="49">
        <f t="shared" ref="AK115:AO115" si="223">SUM(AK116:AK118)</f>
        <v>173.115305661288</v>
      </c>
      <c r="AL115" s="55">
        <f t="shared" si="223"/>
        <v>277.44</v>
      </c>
      <c r="AM115" s="49">
        <f t="shared" si="223"/>
        <v>184.30527615202</v>
      </c>
      <c r="AN115" s="121">
        <f t="shared" si="223"/>
        <v>43846</v>
      </c>
      <c r="AO115" s="121">
        <f t="shared" si="223"/>
        <v>40849</v>
      </c>
      <c r="AP115" s="125">
        <f t="shared" si="125"/>
        <v>13.62996329663</v>
      </c>
      <c r="AQ115" s="120">
        <f>SUM(AQ116:AQ118)</f>
        <v>42195.4045456639</v>
      </c>
      <c r="AR115" s="198">
        <f t="shared" si="126"/>
        <v>25.5637469707168</v>
      </c>
      <c r="AS115" s="5"/>
      <c r="AT115" s="5"/>
      <c r="AU115" s="5"/>
      <c r="AV115" s="5"/>
      <c r="AW115" s="5"/>
      <c r="AX115" s="5"/>
      <c r="AY115" s="5"/>
      <c r="AZ115" s="5" t="s">
        <v>178</v>
      </c>
      <c r="BA115" s="5">
        <v>898</v>
      </c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</row>
    <row r="116" ht="17" customHeight="1" spans="1:53">
      <c r="A116" s="31">
        <v>75</v>
      </c>
      <c r="B116" s="51" t="s">
        <v>161</v>
      </c>
      <c r="C116" s="31" t="s">
        <v>78</v>
      </c>
      <c r="D116" s="31"/>
      <c r="E116" s="31"/>
      <c r="F116" s="31" t="s">
        <v>146</v>
      </c>
      <c r="G116" s="189">
        <f>VLOOKUP(B:B,$AZ:$BA,2,0)</f>
        <v>981</v>
      </c>
      <c r="H116" s="189">
        <f>G116*210000/381298.76</f>
        <v>540.284998566478</v>
      </c>
      <c r="I116" s="189">
        <v>13148</v>
      </c>
      <c r="J116" s="44">
        <f t="shared" si="212"/>
        <v>2629.6</v>
      </c>
      <c r="K116" s="44">
        <f t="shared" si="213"/>
        <v>2629.6</v>
      </c>
      <c r="L116" s="44">
        <f t="shared" si="214"/>
        <v>0</v>
      </c>
      <c r="M116" s="44">
        <f t="shared" si="215"/>
        <v>0</v>
      </c>
      <c r="N116" s="44">
        <f t="shared" si="216"/>
        <v>0</v>
      </c>
      <c r="O116" s="44">
        <f t="shared" si="217"/>
        <v>0</v>
      </c>
      <c r="P116" s="44">
        <v>1944</v>
      </c>
      <c r="Q116" s="44">
        <v>173</v>
      </c>
      <c r="R116" s="44">
        <f t="shared" ref="R116:R118" si="224">S116+T116+U116+V116</f>
        <v>69.2</v>
      </c>
      <c r="S116" s="44">
        <f t="shared" si="207"/>
        <v>69.2</v>
      </c>
      <c r="T116" s="44"/>
      <c r="U116" s="44"/>
      <c r="V116" s="44"/>
      <c r="W116" s="44">
        <f t="shared" ref="W116:W118" si="225">(J116/$J$9*0.2+P116/$P$9*0.05+R116/$R$9*0.05)*299423</f>
        <v>69.0008494713928</v>
      </c>
      <c r="X116" s="76">
        <v>17615</v>
      </c>
      <c r="Y116" s="115">
        <f t="shared" ref="Y116:Y118" si="226">IF(X116&lt;12842,(12842-X116)/(12842-$X$175),0)</f>
        <v>0</v>
      </c>
      <c r="Z116" s="44">
        <f t="shared" ref="Z116:Z118" si="227">(Y116/$Y$9*0.15)*299423</f>
        <v>0</v>
      </c>
      <c r="AA116" s="44">
        <v>9</v>
      </c>
      <c r="AB116" s="44">
        <f>VLOOKUP(B:B,小康村到县资金!C:I,7,0)</f>
        <v>6386.97058823529</v>
      </c>
      <c r="AC116" s="44">
        <v>6386.97058823529</v>
      </c>
      <c r="AD116" s="76"/>
      <c r="AE116" s="44">
        <f t="shared" ref="AE116:AE118" si="228">AD116/$AD$9*71500</f>
        <v>0</v>
      </c>
      <c r="AF116" s="44"/>
      <c r="AG116" s="44"/>
      <c r="AH116" s="44">
        <f>AG116/$AG$13*9347</f>
        <v>0</v>
      </c>
      <c r="AI116" s="44"/>
      <c r="AJ116" s="115">
        <f>VLOOKUP(B:B,'表6资金使用成效（12月30日）'!B:L,11,0)</f>
        <v>0.972632794317227</v>
      </c>
      <c r="AK116" s="44">
        <f t="shared" ref="AK116:AK118" si="229">AJ116/$AJ$9*0.025*299423</f>
        <v>62.6586050055672</v>
      </c>
      <c r="AL116" s="76">
        <v>93.81</v>
      </c>
      <c r="AM116" s="44">
        <f t="shared" ref="AM116:AM118" si="230">(AL116/$AL$9)*0.025*299423</f>
        <v>62.3186200829765</v>
      </c>
      <c r="AN116" s="67">
        <f t="shared" ref="AN116:AN118" si="231">ROUND(AM116+AK116+AE116+AC116+Z116+W116+AI116+AF116,0)</f>
        <v>6581</v>
      </c>
      <c r="AO116" s="67">
        <f t="shared" si="218"/>
        <v>5600</v>
      </c>
      <c r="AP116" s="125">
        <f t="shared" si="125"/>
        <v>5.70846075433231</v>
      </c>
      <c r="AQ116" s="44">
        <f t="shared" si="219"/>
        <v>6040.71500143352</v>
      </c>
      <c r="AR116" s="198">
        <f t="shared" si="126"/>
        <v>11.1806084149313</v>
      </c>
      <c r="AZ116" s="5" t="s">
        <v>179</v>
      </c>
      <c r="BA116" s="5">
        <v>1596</v>
      </c>
    </row>
    <row r="117" ht="17" customHeight="1" spans="1:53">
      <c r="A117" s="31">
        <v>76</v>
      </c>
      <c r="B117" s="51" t="s">
        <v>162</v>
      </c>
      <c r="C117" s="31" t="s">
        <v>90</v>
      </c>
      <c r="D117" s="31">
        <v>2017</v>
      </c>
      <c r="E117" s="31"/>
      <c r="F117" s="31" t="s">
        <v>146</v>
      </c>
      <c r="G117" s="189">
        <f>VLOOKUP(B:B,$AZ:$BA,2,0)</f>
        <v>493</v>
      </c>
      <c r="H117" s="189">
        <f>G117*210000/381298.76</f>
        <v>271.519372368271</v>
      </c>
      <c r="I117" s="189">
        <v>27682</v>
      </c>
      <c r="J117" s="44">
        <f t="shared" si="212"/>
        <v>11072.8</v>
      </c>
      <c r="K117" s="44">
        <f t="shared" si="213"/>
        <v>0</v>
      </c>
      <c r="L117" s="44">
        <f t="shared" si="214"/>
        <v>11072.8</v>
      </c>
      <c r="M117" s="44">
        <f t="shared" si="215"/>
        <v>0</v>
      </c>
      <c r="N117" s="44">
        <f t="shared" si="216"/>
        <v>0</v>
      </c>
      <c r="O117" s="44">
        <f t="shared" si="217"/>
        <v>0</v>
      </c>
      <c r="P117" s="44">
        <v>3397</v>
      </c>
      <c r="Q117" s="44">
        <v>459</v>
      </c>
      <c r="R117" s="44">
        <f t="shared" si="224"/>
        <v>183.6</v>
      </c>
      <c r="S117" s="44">
        <f t="shared" si="207"/>
        <v>183.6</v>
      </c>
      <c r="T117" s="44"/>
      <c r="U117" s="44"/>
      <c r="V117" s="44"/>
      <c r="W117" s="44">
        <f t="shared" si="225"/>
        <v>202.743667241597</v>
      </c>
      <c r="X117" s="76">
        <v>13951</v>
      </c>
      <c r="Y117" s="115">
        <f t="shared" si="226"/>
        <v>0</v>
      </c>
      <c r="Z117" s="44">
        <f t="shared" si="227"/>
        <v>0</v>
      </c>
      <c r="AA117" s="44">
        <v>12</v>
      </c>
      <c r="AB117" s="44">
        <f>VLOOKUP(B:B,小康村到县资金!C:I,7,0)</f>
        <v>9366.29411764706</v>
      </c>
      <c r="AC117" s="44">
        <v>9366.29411764706</v>
      </c>
      <c r="AD117" s="76"/>
      <c r="AE117" s="44">
        <f t="shared" si="228"/>
        <v>0</v>
      </c>
      <c r="AF117" s="44"/>
      <c r="AG117" s="44"/>
      <c r="AH117" s="44"/>
      <c r="AI117" s="44"/>
      <c r="AJ117" s="115">
        <f>VLOOKUP(B:B,'表6资金使用成效（12月30日）'!B:L,11,0)</f>
        <v>0.888113353028102</v>
      </c>
      <c r="AK117" s="44">
        <f t="shared" si="229"/>
        <v>57.213723527204</v>
      </c>
      <c r="AL117" s="76">
        <v>88.93</v>
      </c>
      <c r="AM117" s="44">
        <f t="shared" si="230"/>
        <v>59.0768029418943</v>
      </c>
      <c r="AN117" s="67">
        <f t="shared" si="231"/>
        <v>9685</v>
      </c>
      <c r="AO117" s="67">
        <f t="shared" si="218"/>
        <v>9192</v>
      </c>
      <c r="AP117" s="125">
        <f t="shared" si="125"/>
        <v>18.6450304259635</v>
      </c>
      <c r="AQ117" s="44">
        <f t="shared" si="219"/>
        <v>9413.48062763173</v>
      </c>
      <c r="AR117" s="198">
        <f t="shared" si="126"/>
        <v>34.6696463884864</v>
      </c>
      <c r="AZ117" s="5" t="s">
        <v>180</v>
      </c>
      <c r="BA117" s="5">
        <v>331</v>
      </c>
    </row>
    <row r="118" ht="17" customHeight="1" spans="1:53">
      <c r="A118" s="31">
        <v>77</v>
      </c>
      <c r="B118" s="51" t="s">
        <v>163</v>
      </c>
      <c r="C118" s="31" t="s">
        <v>90</v>
      </c>
      <c r="D118" s="31">
        <v>2018</v>
      </c>
      <c r="E118" s="31"/>
      <c r="F118" s="31" t="s">
        <v>146</v>
      </c>
      <c r="G118" s="189">
        <f>VLOOKUP(B:B,$AZ:$BA,2,0)</f>
        <v>1523</v>
      </c>
      <c r="H118" s="189">
        <f>G118*210000/381298.76</f>
        <v>838.791083401373</v>
      </c>
      <c r="I118" s="189">
        <v>25322</v>
      </c>
      <c r="J118" s="44">
        <f t="shared" si="212"/>
        <v>15193.2</v>
      </c>
      <c r="K118" s="44">
        <f t="shared" si="213"/>
        <v>0</v>
      </c>
      <c r="L118" s="44">
        <f t="shared" si="214"/>
        <v>0</v>
      </c>
      <c r="M118" s="44">
        <f t="shared" si="215"/>
        <v>15193.2</v>
      </c>
      <c r="N118" s="44">
        <f t="shared" si="216"/>
        <v>0</v>
      </c>
      <c r="O118" s="44">
        <f t="shared" si="217"/>
        <v>0</v>
      </c>
      <c r="P118" s="44">
        <v>3177</v>
      </c>
      <c r="Q118" s="44">
        <v>121</v>
      </c>
      <c r="R118" s="44">
        <f t="shared" si="224"/>
        <v>48.4</v>
      </c>
      <c r="S118" s="44">
        <f t="shared" si="207"/>
        <v>48.4</v>
      </c>
      <c r="T118" s="44"/>
      <c r="U118" s="44"/>
      <c r="V118" s="44"/>
      <c r="W118" s="44">
        <f t="shared" si="225"/>
        <v>248.240208996769</v>
      </c>
      <c r="X118" s="76">
        <v>12777</v>
      </c>
      <c r="Y118" s="115">
        <f t="shared" si="226"/>
        <v>0.0122989593188269</v>
      </c>
      <c r="Z118" s="44">
        <f t="shared" si="227"/>
        <v>30.5917871738448</v>
      </c>
      <c r="AA118" s="44">
        <v>27</v>
      </c>
      <c r="AB118" s="44">
        <f>VLOOKUP(B:B,小康村到县资金!C:I,7,0)</f>
        <v>27184.9117647059</v>
      </c>
      <c r="AC118" s="44">
        <v>27184.9117647059</v>
      </c>
      <c r="AD118" s="76"/>
      <c r="AE118" s="44">
        <f t="shared" si="228"/>
        <v>0</v>
      </c>
      <c r="AF118" s="44"/>
      <c r="AG118" s="44"/>
      <c r="AH118" s="44"/>
      <c r="AI118" s="44"/>
      <c r="AJ118" s="115">
        <f>VLOOKUP(B:B,'表6资金使用成效（12月30日）'!B:L,11,0)</f>
        <v>0.826476516955282</v>
      </c>
      <c r="AK118" s="44">
        <f t="shared" si="229"/>
        <v>53.2429771285173</v>
      </c>
      <c r="AL118" s="76">
        <v>94.7</v>
      </c>
      <c r="AM118" s="44">
        <f t="shared" si="230"/>
        <v>62.9098531271493</v>
      </c>
      <c r="AN118" s="67">
        <f t="shared" si="231"/>
        <v>27580</v>
      </c>
      <c r="AO118" s="67">
        <f t="shared" si="218"/>
        <v>26057</v>
      </c>
      <c r="AP118" s="125">
        <f t="shared" si="125"/>
        <v>17.1089954038083</v>
      </c>
      <c r="AQ118" s="44">
        <f t="shared" si="219"/>
        <v>26741.2089165986</v>
      </c>
      <c r="AR118" s="198">
        <f t="shared" si="126"/>
        <v>31.8806547253228</v>
      </c>
      <c r="AZ118" s="5" t="s">
        <v>181</v>
      </c>
      <c r="BA118" s="5">
        <v>668</v>
      </c>
    </row>
    <row r="119" s="6" customFormat="1" ht="17" customHeight="1" spans="1:75">
      <c r="A119" s="39"/>
      <c r="B119" s="40" t="s">
        <v>164</v>
      </c>
      <c r="C119" s="41">
        <v>1</v>
      </c>
      <c r="D119" s="41"/>
      <c r="E119" s="41"/>
      <c r="F119" s="41"/>
      <c r="G119" s="119">
        <f>G120+G121</f>
        <v>20161</v>
      </c>
      <c r="H119" s="119">
        <f>H120+H121</f>
        <v>11103.6553069304</v>
      </c>
      <c r="I119" s="119">
        <f t="shared" ref="I119:O119" si="232">I120+I121</f>
        <v>310681</v>
      </c>
      <c r="J119" s="43">
        <f t="shared" si="232"/>
        <v>168132.6</v>
      </c>
      <c r="K119" s="43">
        <f t="shared" si="232"/>
        <v>15394.2</v>
      </c>
      <c r="L119" s="43">
        <f t="shared" si="232"/>
        <v>13178</v>
      </c>
      <c r="M119" s="43">
        <f t="shared" si="232"/>
        <v>63154.8</v>
      </c>
      <c r="N119" s="43">
        <f t="shared" si="232"/>
        <v>76405.6</v>
      </c>
      <c r="O119" s="43">
        <f t="shared" si="232"/>
        <v>0</v>
      </c>
      <c r="P119" s="43">
        <v>39411</v>
      </c>
      <c r="Q119" s="43">
        <f t="shared" ref="Q119:W119" si="233">Q120+Q121</f>
        <v>47828</v>
      </c>
      <c r="R119" s="43">
        <f t="shared" si="233"/>
        <v>36452.6</v>
      </c>
      <c r="S119" s="43">
        <f t="shared" si="233"/>
        <v>0</v>
      </c>
      <c r="T119" s="43">
        <f t="shared" si="233"/>
        <v>5429.4</v>
      </c>
      <c r="U119" s="43">
        <f t="shared" si="233"/>
        <v>31023.2</v>
      </c>
      <c r="V119" s="43">
        <f t="shared" si="233"/>
        <v>0</v>
      </c>
      <c r="W119" s="43">
        <f t="shared" si="233"/>
        <v>3401.28556829969</v>
      </c>
      <c r="X119" s="77"/>
      <c r="Y119" s="118">
        <f t="shared" ref="Y119:AI119" si="234">Y120+Y121</f>
        <v>0.724314096499526</v>
      </c>
      <c r="Z119" s="43">
        <f t="shared" si="234"/>
        <v>1801.62094309965</v>
      </c>
      <c r="AA119" s="43">
        <v>0</v>
      </c>
      <c r="AB119" s="43">
        <f t="shared" si="234"/>
        <v>0</v>
      </c>
      <c r="AC119" s="43">
        <f t="shared" si="234"/>
        <v>0</v>
      </c>
      <c r="AD119" s="54">
        <f t="shared" si="234"/>
        <v>76405.6</v>
      </c>
      <c r="AE119" s="43">
        <f t="shared" si="234"/>
        <v>1107.49543990256</v>
      </c>
      <c r="AF119" s="119">
        <f t="shared" si="234"/>
        <v>0</v>
      </c>
      <c r="AG119" s="119">
        <f t="shared" si="234"/>
        <v>61</v>
      </c>
      <c r="AH119" s="119">
        <f t="shared" si="234"/>
        <v>775.684647302905</v>
      </c>
      <c r="AI119" s="43">
        <f t="shared" si="234"/>
        <v>0</v>
      </c>
      <c r="AJ119" s="118"/>
      <c r="AK119" s="43">
        <f t="shared" ref="AK119:AO119" si="235">AK120+AK121</f>
        <v>615.502550849458</v>
      </c>
      <c r="AL119" s="54">
        <f t="shared" si="235"/>
        <v>904.29</v>
      </c>
      <c r="AM119" s="43">
        <f t="shared" si="235"/>
        <v>600.725988219111</v>
      </c>
      <c r="AN119" s="119">
        <f t="shared" si="235"/>
        <v>7525</v>
      </c>
      <c r="AO119" s="119">
        <f t="shared" si="235"/>
        <v>-12636</v>
      </c>
      <c r="AP119" s="125">
        <f t="shared" si="125"/>
        <v>-0.626754625266604</v>
      </c>
      <c r="AQ119" s="118">
        <f>AQ120+AQ121</f>
        <v>-3578.65530693044</v>
      </c>
      <c r="AR119" s="198">
        <f t="shared" si="126"/>
        <v>-0.322295244944861</v>
      </c>
      <c r="AS119" s="5"/>
      <c r="AT119" s="5"/>
      <c r="AU119" s="5"/>
      <c r="AV119" s="5"/>
      <c r="AW119" s="5"/>
      <c r="AX119" s="5"/>
      <c r="AY119" s="5"/>
      <c r="AZ119" s="5" t="s">
        <v>182</v>
      </c>
      <c r="BA119" s="5">
        <v>2520</v>
      </c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</row>
    <row r="120" ht="17" customHeight="1" spans="1:53">
      <c r="A120" s="29"/>
      <c r="B120" s="30" t="s">
        <v>165</v>
      </c>
      <c r="C120" s="31">
        <v>2</v>
      </c>
      <c r="D120" s="31"/>
      <c r="E120" s="31"/>
      <c r="F120" s="31"/>
      <c r="G120" s="189"/>
      <c r="H120" s="189"/>
      <c r="I120" s="189"/>
      <c r="J120" s="44">
        <f t="shared" ref="J120:J131" si="236">SUM(K120:O120)</f>
        <v>0</v>
      </c>
      <c r="K120" s="44">
        <f t="shared" ref="K120:K131" si="237">IF(D120="",I120*0.2,0)</f>
        <v>0</v>
      </c>
      <c r="L120" s="44">
        <f t="shared" ref="L120:L131" si="238">IF(D120=2017,I120*0.4,0)</f>
        <v>0</v>
      </c>
      <c r="M120" s="44">
        <f t="shared" ref="M120:M131" si="239">IF(D120=2018,I120*0.6,0)</f>
        <v>0</v>
      </c>
      <c r="N120" s="44">
        <f t="shared" ref="N120:N131" si="240">IF(D120=2019,I120*0.8,0)</f>
        <v>0</v>
      </c>
      <c r="O120" s="44">
        <f t="shared" ref="O120:O131" si="241">IF(D120=2020,I120*1,0)</f>
        <v>0</v>
      </c>
      <c r="P120" s="44"/>
      <c r="Q120" s="44"/>
      <c r="R120" s="44">
        <f>N120*0.4+O120*0.6+P120*0.8+Q120*1</f>
        <v>0</v>
      </c>
      <c r="S120" s="44">
        <f>Q120-T120-U120-V120</f>
        <v>0</v>
      </c>
      <c r="T120" s="44"/>
      <c r="U120" s="44"/>
      <c r="V120" s="44"/>
      <c r="W120" s="44"/>
      <c r="X120" s="76"/>
      <c r="Y120" s="115"/>
      <c r="Z120" s="44"/>
      <c r="AA120" s="44"/>
      <c r="AB120" s="44"/>
      <c r="AC120" s="44"/>
      <c r="AD120" s="76"/>
      <c r="AE120" s="44"/>
      <c r="AF120" s="44"/>
      <c r="AG120" s="44"/>
      <c r="AH120" s="44"/>
      <c r="AI120" s="44"/>
      <c r="AJ120" s="115"/>
      <c r="AK120" s="44">
        <f>AJ120/$AJ$9*0.05*200000</f>
        <v>0</v>
      </c>
      <c r="AL120" s="76"/>
      <c r="AM120" s="44">
        <f>(AL120/$AL$9)*0.05*200000</f>
        <v>0</v>
      </c>
      <c r="AN120" s="67">
        <f>ROUND(AM120+AK120+AE120+AC120+Z120+W120,0)</f>
        <v>0</v>
      </c>
      <c r="AO120" s="67">
        <f t="shared" ref="AO120:AO131" si="242">AN120-G120</f>
        <v>0</v>
      </c>
      <c r="AP120" s="125"/>
      <c r="AQ120" s="115">
        <f t="shared" ref="AQ120:AQ131" si="243">AN120-H120</f>
        <v>0</v>
      </c>
      <c r="AR120" s="198"/>
      <c r="AZ120" s="5" t="s">
        <v>183</v>
      </c>
      <c r="BA120" s="5">
        <v>2955</v>
      </c>
    </row>
    <row r="121" s="7" customFormat="1" ht="17" customHeight="1" spans="1:75">
      <c r="A121" s="45"/>
      <c r="B121" s="46" t="s">
        <v>76</v>
      </c>
      <c r="C121" s="47">
        <v>3</v>
      </c>
      <c r="D121" s="47"/>
      <c r="E121" s="47"/>
      <c r="F121" s="47"/>
      <c r="G121" s="121">
        <f>SUM(G122:G131)</f>
        <v>20161</v>
      </c>
      <c r="H121" s="121">
        <f>SUM(H122:H131)</f>
        <v>11103.6553069304</v>
      </c>
      <c r="I121" s="121">
        <f t="shared" ref="I121:O121" si="244">SUM(I122:I131)</f>
        <v>310681</v>
      </c>
      <c r="J121" s="49">
        <f t="shared" si="244"/>
        <v>168132.6</v>
      </c>
      <c r="K121" s="49">
        <f t="shared" si="244"/>
        <v>15394.2</v>
      </c>
      <c r="L121" s="49">
        <f t="shared" si="244"/>
        <v>13178</v>
      </c>
      <c r="M121" s="49">
        <f t="shared" si="244"/>
        <v>63154.8</v>
      </c>
      <c r="N121" s="49">
        <f t="shared" si="244"/>
        <v>76405.6</v>
      </c>
      <c r="O121" s="49">
        <f t="shared" si="244"/>
        <v>0</v>
      </c>
      <c r="P121" s="49">
        <v>39411</v>
      </c>
      <c r="Q121" s="49">
        <f t="shared" ref="Q121:W121" si="245">SUM(Q122:Q131)</f>
        <v>47828</v>
      </c>
      <c r="R121" s="49">
        <f t="shared" si="245"/>
        <v>36452.6</v>
      </c>
      <c r="S121" s="49">
        <f t="shared" si="245"/>
        <v>0</v>
      </c>
      <c r="T121" s="49">
        <f t="shared" si="245"/>
        <v>5429.4</v>
      </c>
      <c r="U121" s="49">
        <f t="shared" si="245"/>
        <v>31023.2</v>
      </c>
      <c r="V121" s="49">
        <f t="shared" si="245"/>
        <v>0</v>
      </c>
      <c r="W121" s="49">
        <f t="shared" si="245"/>
        <v>3401.28556829969</v>
      </c>
      <c r="X121" s="78"/>
      <c r="Y121" s="120">
        <f t="shared" ref="Y121:AI121" si="246">SUM(Y122:Y131)</f>
        <v>0.724314096499526</v>
      </c>
      <c r="Z121" s="49">
        <f t="shared" si="246"/>
        <v>1801.62094309965</v>
      </c>
      <c r="AA121" s="49">
        <v>0</v>
      </c>
      <c r="AB121" s="49">
        <f t="shared" si="246"/>
        <v>0</v>
      </c>
      <c r="AC121" s="49">
        <f t="shared" si="246"/>
        <v>0</v>
      </c>
      <c r="AD121" s="55">
        <f t="shared" si="246"/>
        <v>76405.6</v>
      </c>
      <c r="AE121" s="49">
        <f t="shared" si="246"/>
        <v>1107.49543990256</v>
      </c>
      <c r="AF121" s="121">
        <f t="shared" si="246"/>
        <v>0</v>
      </c>
      <c r="AG121" s="121">
        <f t="shared" si="246"/>
        <v>61</v>
      </c>
      <c r="AH121" s="121">
        <f t="shared" si="246"/>
        <v>775.684647302905</v>
      </c>
      <c r="AI121" s="49">
        <f t="shared" si="246"/>
        <v>0</v>
      </c>
      <c r="AJ121" s="120"/>
      <c r="AK121" s="49">
        <f t="shared" ref="AK121:AO121" si="247">SUM(AK122:AK131)</f>
        <v>615.502550849458</v>
      </c>
      <c r="AL121" s="55">
        <f t="shared" si="247"/>
        <v>904.29</v>
      </c>
      <c r="AM121" s="49">
        <f t="shared" si="247"/>
        <v>600.725988219111</v>
      </c>
      <c r="AN121" s="121">
        <f t="shared" si="247"/>
        <v>7525</v>
      </c>
      <c r="AO121" s="121">
        <f t="shared" si="247"/>
        <v>-12636</v>
      </c>
      <c r="AP121" s="125">
        <f t="shared" si="125"/>
        <v>-0.626754625266604</v>
      </c>
      <c r="AQ121" s="120">
        <f>SUM(AQ122:AQ131)</f>
        <v>-3578.65530693044</v>
      </c>
      <c r="AR121" s="198">
        <f t="shared" si="126"/>
        <v>-0.322295244944861</v>
      </c>
      <c r="AS121" s="5"/>
      <c r="AT121" s="5"/>
      <c r="AU121" s="5"/>
      <c r="AV121" s="5"/>
      <c r="AW121" s="5"/>
      <c r="AX121" s="5"/>
      <c r="AY121" s="5"/>
      <c r="AZ121" s="5" t="s">
        <v>184</v>
      </c>
      <c r="BA121" s="5">
        <v>699</v>
      </c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</row>
    <row r="122" ht="17" customHeight="1" spans="1:53">
      <c r="A122" s="31">
        <v>78</v>
      </c>
      <c r="B122" s="51" t="s">
        <v>166</v>
      </c>
      <c r="C122" s="31" t="s">
        <v>78</v>
      </c>
      <c r="D122" s="31"/>
      <c r="E122" s="31"/>
      <c r="F122" s="31"/>
      <c r="G122" s="189">
        <f t="shared" ref="G122:G131" si="248">VLOOKUP(B:B,$AZ:$BA,2,0)</f>
        <v>2346</v>
      </c>
      <c r="H122" s="189">
        <f t="shared" ref="H122:H131" si="249">G122*210000/381298.76</f>
        <v>1292.05770299384</v>
      </c>
      <c r="I122" s="189">
        <v>33951</v>
      </c>
      <c r="J122" s="44">
        <f t="shared" si="236"/>
        <v>6790.2</v>
      </c>
      <c r="K122" s="44">
        <f t="shared" si="237"/>
        <v>6790.2</v>
      </c>
      <c r="L122" s="44">
        <f t="shared" si="238"/>
        <v>0</v>
      </c>
      <c r="M122" s="44">
        <f t="shared" si="239"/>
        <v>0</v>
      </c>
      <c r="N122" s="44">
        <f t="shared" si="240"/>
        <v>0</v>
      </c>
      <c r="O122" s="44">
        <f t="shared" si="241"/>
        <v>0</v>
      </c>
      <c r="P122" s="44">
        <v>4732</v>
      </c>
      <c r="Q122" s="44">
        <v>1850</v>
      </c>
      <c r="R122" s="44">
        <f t="shared" ref="R122:R131" si="250">S122+T122+U122+V122</f>
        <v>1110</v>
      </c>
      <c r="S122" s="44"/>
      <c r="T122" s="44">
        <f t="shared" ref="T122:T126" si="251">Q122*0.6</f>
        <v>1110</v>
      </c>
      <c r="U122" s="44"/>
      <c r="V122" s="44"/>
      <c r="W122" s="44">
        <f t="shared" ref="W122:W131" si="252">(J122/$J$9*0.2+P122/$P$9*0.05+R122/$R$9*0.05)*299423</f>
        <v>187.982227811288</v>
      </c>
      <c r="X122" s="76">
        <v>13751</v>
      </c>
      <c r="Y122" s="115">
        <f t="shared" ref="Y122:Y131" si="253">IF(X122&lt;12842,(12842-X122)/(12842-$X$175),0)</f>
        <v>0</v>
      </c>
      <c r="Z122" s="44">
        <f t="shared" ref="Z122:Z131" si="254">(Y122/$Y$9*0.15)*299423</f>
        <v>0</v>
      </c>
      <c r="AA122" s="44"/>
      <c r="AB122" s="44"/>
      <c r="AC122" s="44"/>
      <c r="AD122" s="76"/>
      <c r="AE122" s="44">
        <f t="shared" ref="AE122:AE131" si="255">AD122/$AD$9*71500</f>
        <v>0</v>
      </c>
      <c r="AF122" s="44"/>
      <c r="AG122" s="44">
        <v>6</v>
      </c>
      <c r="AH122" s="44">
        <f>AG122/$AG$13*9347</f>
        <v>232.705394190871</v>
      </c>
      <c r="AI122" s="44"/>
      <c r="AJ122" s="115">
        <f>VLOOKUP(B:B,'表6资金使用成效（12月30日）'!B:L,11,0)</f>
        <v>0.979953655569826</v>
      </c>
      <c r="AK122" s="44">
        <f t="shared" ref="AK122:AK131" si="256">AJ122/$AJ$9*0.025*299423</f>
        <v>63.1302269333978</v>
      </c>
      <c r="AL122" s="76">
        <v>93.79</v>
      </c>
      <c r="AM122" s="44">
        <f t="shared" ref="AM122:AM131" si="257">(AL122/$AL$9)*0.025*299423</f>
        <v>62.3053339471524</v>
      </c>
      <c r="AN122" s="67">
        <f t="shared" ref="AN122:AN131" si="258">ROUND(AM122+AK122+AE122+AC122+Z122+W122+AI122+AF122,0)</f>
        <v>313</v>
      </c>
      <c r="AO122" s="67">
        <f t="shared" si="242"/>
        <v>-2033</v>
      </c>
      <c r="AP122" s="125">
        <f t="shared" si="125"/>
        <v>-0.866581415174766</v>
      </c>
      <c r="AQ122" s="44">
        <f t="shared" si="243"/>
        <v>-979.05770299384</v>
      </c>
      <c r="AR122" s="198">
        <f t="shared" si="126"/>
        <v>-0.757750757358015</v>
      </c>
      <c r="AZ122" s="5" t="s">
        <v>185</v>
      </c>
      <c r="BA122" s="5">
        <v>1482</v>
      </c>
    </row>
    <row r="123" ht="17" customHeight="1" spans="1:53">
      <c r="A123" s="31">
        <v>79</v>
      </c>
      <c r="B123" s="51" t="s">
        <v>167</v>
      </c>
      <c r="C123" s="31" t="s">
        <v>90</v>
      </c>
      <c r="D123" s="31">
        <v>2018</v>
      </c>
      <c r="E123" s="31"/>
      <c r="F123" s="31"/>
      <c r="G123" s="189">
        <f t="shared" si="248"/>
        <v>1998</v>
      </c>
      <c r="H123" s="189">
        <f t="shared" si="249"/>
        <v>1100.39696955741</v>
      </c>
      <c r="I123" s="189">
        <v>22402</v>
      </c>
      <c r="J123" s="44">
        <f t="shared" si="236"/>
        <v>13441.2</v>
      </c>
      <c r="K123" s="44">
        <f t="shared" si="237"/>
        <v>0</v>
      </c>
      <c r="L123" s="44">
        <f t="shared" si="238"/>
        <v>0</v>
      </c>
      <c r="M123" s="44">
        <f t="shared" si="239"/>
        <v>13441.2</v>
      </c>
      <c r="N123" s="44">
        <f t="shared" si="240"/>
        <v>0</v>
      </c>
      <c r="O123" s="44">
        <f t="shared" si="241"/>
        <v>0</v>
      </c>
      <c r="P123" s="44">
        <v>3446</v>
      </c>
      <c r="Q123" s="44">
        <v>5801</v>
      </c>
      <c r="R123" s="44">
        <f t="shared" si="250"/>
        <v>4640.8</v>
      </c>
      <c r="S123" s="44"/>
      <c r="T123" s="44"/>
      <c r="U123" s="44">
        <f t="shared" ref="U123:U127" si="259">Q123*0.8</f>
        <v>4640.8</v>
      </c>
      <c r="V123" s="44"/>
      <c r="W123" s="44">
        <f t="shared" si="252"/>
        <v>304.993977353516</v>
      </c>
      <c r="X123" s="76">
        <v>12095</v>
      </c>
      <c r="Y123" s="115">
        <f t="shared" si="253"/>
        <v>0.141343424787133</v>
      </c>
      <c r="Z123" s="44">
        <f t="shared" si="254"/>
        <v>351.570231059414</v>
      </c>
      <c r="AA123" s="44"/>
      <c r="AB123" s="44"/>
      <c r="AC123" s="44"/>
      <c r="AD123" s="76"/>
      <c r="AE123" s="44">
        <f t="shared" si="255"/>
        <v>0</v>
      </c>
      <c r="AF123" s="44"/>
      <c r="AG123" s="44">
        <v>5</v>
      </c>
      <c r="AH123" s="44"/>
      <c r="AI123" s="44"/>
      <c r="AJ123" s="115">
        <f>VLOOKUP(B:B,'表6资金使用成效（12月30日）'!B:L,11,0)</f>
        <v>0.951145038167939</v>
      </c>
      <c r="AK123" s="44">
        <f t="shared" si="256"/>
        <v>61.2743283979094</v>
      </c>
      <c r="AL123" s="76">
        <v>89.13</v>
      </c>
      <c r="AM123" s="44">
        <f t="shared" si="257"/>
        <v>59.2096643001353</v>
      </c>
      <c r="AN123" s="67">
        <f t="shared" si="258"/>
        <v>777</v>
      </c>
      <c r="AO123" s="67">
        <f t="shared" si="242"/>
        <v>-1221</v>
      </c>
      <c r="AP123" s="125">
        <f t="shared" si="125"/>
        <v>-0.611111111111111</v>
      </c>
      <c r="AQ123" s="44">
        <f t="shared" si="243"/>
        <v>-323.39696955741</v>
      </c>
      <c r="AR123" s="198">
        <f t="shared" si="126"/>
        <v>-0.293891185185182</v>
      </c>
      <c r="AZ123" s="5" t="s">
        <v>186</v>
      </c>
      <c r="BA123" s="5">
        <v>2272</v>
      </c>
    </row>
    <row r="124" ht="17" customHeight="1" spans="1:53">
      <c r="A124" s="31">
        <v>80</v>
      </c>
      <c r="B124" s="51" t="s">
        <v>168</v>
      </c>
      <c r="C124" s="31" t="s">
        <v>90</v>
      </c>
      <c r="D124" s="31">
        <v>2017</v>
      </c>
      <c r="E124" s="31"/>
      <c r="F124" s="31"/>
      <c r="G124" s="189">
        <f t="shared" si="248"/>
        <v>367</v>
      </c>
      <c r="H124" s="189">
        <f t="shared" si="249"/>
        <v>202.124968882668</v>
      </c>
      <c r="I124" s="189">
        <v>10255</v>
      </c>
      <c r="J124" s="44">
        <f t="shared" si="236"/>
        <v>4102</v>
      </c>
      <c r="K124" s="44">
        <f t="shared" si="237"/>
        <v>0</v>
      </c>
      <c r="L124" s="44">
        <f t="shared" si="238"/>
        <v>4102</v>
      </c>
      <c r="M124" s="44">
        <f t="shared" si="239"/>
        <v>0</v>
      </c>
      <c r="N124" s="44">
        <f t="shared" si="240"/>
        <v>0</v>
      </c>
      <c r="O124" s="44">
        <f t="shared" si="241"/>
        <v>0</v>
      </c>
      <c r="P124" s="44">
        <v>2278</v>
      </c>
      <c r="Q124" s="44">
        <v>2106</v>
      </c>
      <c r="R124" s="44">
        <f t="shared" si="250"/>
        <v>1263.6</v>
      </c>
      <c r="S124" s="44"/>
      <c r="T124" s="44">
        <f t="shared" si="251"/>
        <v>1263.6</v>
      </c>
      <c r="U124" s="44"/>
      <c r="V124" s="44"/>
      <c r="W124" s="44">
        <f t="shared" si="252"/>
        <v>112.664384512294</v>
      </c>
      <c r="X124" s="76">
        <v>12243</v>
      </c>
      <c r="Y124" s="115">
        <f t="shared" si="253"/>
        <v>0.113339640491958</v>
      </c>
      <c r="Z124" s="44">
        <f t="shared" si="254"/>
        <v>281.915084878968</v>
      </c>
      <c r="AA124" s="44"/>
      <c r="AB124" s="44"/>
      <c r="AC124" s="44"/>
      <c r="AD124" s="76"/>
      <c r="AE124" s="44">
        <f t="shared" si="255"/>
        <v>0</v>
      </c>
      <c r="AF124" s="44"/>
      <c r="AG124" s="44">
        <v>5</v>
      </c>
      <c r="AH124" s="44"/>
      <c r="AI124" s="44"/>
      <c r="AJ124" s="115">
        <f>VLOOKUP(B:B,'表6资金使用成效（12月30日）'!B:L,11,0)</f>
        <v>0.929636159640968</v>
      </c>
      <c r="AK124" s="44">
        <f t="shared" si="256"/>
        <v>59.8886910519259</v>
      </c>
      <c r="AL124" s="76">
        <v>91.09</v>
      </c>
      <c r="AM124" s="44">
        <f t="shared" si="257"/>
        <v>60.5117056108979</v>
      </c>
      <c r="AN124" s="67">
        <f t="shared" si="258"/>
        <v>515</v>
      </c>
      <c r="AO124" s="67">
        <f t="shared" si="242"/>
        <v>148</v>
      </c>
      <c r="AP124" s="125">
        <f t="shared" si="125"/>
        <v>0.403269754768392</v>
      </c>
      <c r="AQ124" s="44">
        <f t="shared" si="243"/>
        <v>312.875031117332</v>
      </c>
      <c r="AR124" s="198">
        <f t="shared" si="126"/>
        <v>1.54792865446997</v>
      </c>
      <c r="AZ124" s="5" t="s">
        <v>187</v>
      </c>
      <c r="BA124" s="5">
        <v>414</v>
      </c>
    </row>
    <row r="125" ht="17" customHeight="1" spans="1:53">
      <c r="A125" s="31">
        <v>81</v>
      </c>
      <c r="B125" s="51" t="s">
        <v>169</v>
      </c>
      <c r="C125" s="31" t="s">
        <v>90</v>
      </c>
      <c r="D125" s="31">
        <v>2018</v>
      </c>
      <c r="E125" s="31"/>
      <c r="F125" s="31"/>
      <c r="G125" s="189">
        <f t="shared" si="248"/>
        <v>1082</v>
      </c>
      <c r="H125" s="189">
        <f t="shared" si="249"/>
        <v>595.910671201763</v>
      </c>
      <c r="I125" s="189">
        <v>25551</v>
      </c>
      <c r="J125" s="44">
        <f t="shared" si="236"/>
        <v>15330.6</v>
      </c>
      <c r="K125" s="44">
        <f t="shared" si="237"/>
        <v>0</v>
      </c>
      <c r="L125" s="44">
        <f t="shared" si="238"/>
        <v>0</v>
      </c>
      <c r="M125" s="44">
        <f t="shared" si="239"/>
        <v>15330.6</v>
      </c>
      <c r="N125" s="44">
        <f t="shared" si="240"/>
        <v>0</v>
      </c>
      <c r="O125" s="44">
        <f t="shared" si="241"/>
        <v>0</v>
      </c>
      <c r="P125" s="44">
        <v>3794</v>
      </c>
      <c r="Q125" s="44">
        <v>5198</v>
      </c>
      <c r="R125" s="44">
        <f t="shared" si="250"/>
        <v>4158.4</v>
      </c>
      <c r="S125" s="44"/>
      <c r="T125" s="44"/>
      <c r="U125" s="44">
        <f t="shared" si="259"/>
        <v>4158.4</v>
      </c>
      <c r="V125" s="44"/>
      <c r="W125" s="44">
        <f t="shared" si="252"/>
        <v>327.162026975833</v>
      </c>
      <c r="X125" s="76">
        <v>12564</v>
      </c>
      <c r="Y125" s="115">
        <f t="shared" si="253"/>
        <v>0.0526017029328288</v>
      </c>
      <c r="Z125" s="44">
        <f t="shared" si="254"/>
        <v>130.838720528136</v>
      </c>
      <c r="AA125" s="44"/>
      <c r="AB125" s="44"/>
      <c r="AC125" s="44"/>
      <c r="AD125" s="76"/>
      <c r="AE125" s="44">
        <f t="shared" si="255"/>
        <v>0</v>
      </c>
      <c r="AF125" s="44"/>
      <c r="AG125" s="44">
        <v>6</v>
      </c>
      <c r="AH125" s="44"/>
      <c r="AI125" s="44"/>
      <c r="AJ125" s="115">
        <f>VLOOKUP(B:B,'表6资金使用成效（12月30日）'!B:L,11,0)</f>
        <v>1</v>
      </c>
      <c r="AK125" s="44">
        <f t="shared" si="256"/>
        <v>64.4216454263734</v>
      </c>
      <c r="AL125" s="76">
        <v>92.64</v>
      </c>
      <c r="AM125" s="44">
        <f t="shared" si="257"/>
        <v>61.5413811372662</v>
      </c>
      <c r="AN125" s="67">
        <f t="shared" si="258"/>
        <v>584</v>
      </c>
      <c r="AO125" s="67">
        <f t="shared" si="242"/>
        <v>-498</v>
      </c>
      <c r="AP125" s="125">
        <f t="shared" si="125"/>
        <v>-0.460258780036969</v>
      </c>
      <c r="AQ125" s="44">
        <f t="shared" si="243"/>
        <v>-11.910671201763</v>
      </c>
      <c r="AR125" s="198">
        <f t="shared" si="126"/>
        <v>-0.019987343367661</v>
      </c>
      <c r="AZ125" s="5" t="s">
        <v>188</v>
      </c>
      <c r="BA125" s="5">
        <v>1837</v>
      </c>
    </row>
    <row r="126" ht="17" customHeight="1" spans="1:53">
      <c r="A126" s="31">
        <v>82</v>
      </c>
      <c r="B126" s="51" t="s">
        <v>170</v>
      </c>
      <c r="C126" s="31" t="s">
        <v>90</v>
      </c>
      <c r="D126" s="31">
        <v>2017</v>
      </c>
      <c r="E126" s="31"/>
      <c r="F126" s="31"/>
      <c r="G126" s="189">
        <f t="shared" si="248"/>
        <v>1219</v>
      </c>
      <c r="H126" s="189">
        <f t="shared" si="249"/>
        <v>671.363316261506</v>
      </c>
      <c r="I126" s="189">
        <v>22690</v>
      </c>
      <c r="J126" s="44">
        <f t="shared" si="236"/>
        <v>9076</v>
      </c>
      <c r="K126" s="44">
        <f t="shared" si="237"/>
        <v>0</v>
      </c>
      <c r="L126" s="44">
        <f t="shared" si="238"/>
        <v>9076</v>
      </c>
      <c r="M126" s="44">
        <f t="shared" si="239"/>
        <v>0</v>
      </c>
      <c r="N126" s="44">
        <f t="shared" si="240"/>
        <v>0</v>
      </c>
      <c r="O126" s="44">
        <f t="shared" si="241"/>
        <v>0</v>
      </c>
      <c r="P126" s="44">
        <v>2081</v>
      </c>
      <c r="Q126" s="44">
        <v>2771</v>
      </c>
      <c r="R126" s="44">
        <f t="shared" si="250"/>
        <v>1662.6</v>
      </c>
      <c r="S126" s="44"/>
      <c r="T126" s="44">
        <f t="shared" si="251"/>
        <v>1662.6</v>
      </c>
      <c r="U126" s="44"/>
      <c r="V126" s="44"/>
      <c r="W126" s="44">
        <f t="shared" si="252"/>
        <v>177.862042042581</v>
      </c>
      <c r="X126" s="76">
        <v>12890</v>
      </c>
      <c r="Y126" s="115">
        <f t="shared" si="253"/>
        <v>0</v>
      </c>
      <c r="Z126" s="44">
        <f t="shared" si="254"/>
        <v>0</v>
      </c>
      <c r="AA126" s="44"/>
      <c r="AB126" s="44"/>
      <c r="AC126" s="44"/>
      <c r="AD126" s="76"/>
      <c r="AE126" s="44">
        <f t="shared" si="255"/>
        <v>0</v>
      </c>
      <c r="AF126" s="44"/>
      <c r="AG126" s="44">
        <v>7</v>
      </c>
      <c r="AH126" s="44"/>
      <c r="AI126" s="44"/>
      <c r="AJ126" s="115">
        <f>VLOOKUP(B:B,'表6资金使用成效（12月30日）'!B:L,11,0)</f>
        <v>0.934114261701412</v>
      </c>
      <c r="AK126" s="44">
        <f t="shared" si="256"/>
        <v>60.177177755047</v>
      </c>
      <c r="AL126" s="76">
        <v>93.33</v>
      </c>
      <c r="AM126" s="44">
        <f t="shared" si="257"/>
        <v>61.9997528231979</v>
      </c>
      <c r="AN126" s="67">
        <f t="shared" si="258"/>
        <v>300</v>
      </c>
      <c r="AO126" s="67">
        <f t="shared" si="242"/>
        <v>-919</v>
      </c>
      <c r="AP126" s="125">
        <f t="shared" si="125"/>
        <v>-0.753896636587367</v>
      </c>
      <c r="AQ126" s="44">
        <f t="shared" si="243"/>
        <v>-371.363316261506</v>
      </c>
      <c r="AR126" s="198">
        <f t="shared" si="126"/>
        <v>-0.553148060471112</v>
      </c>
      <c r="AZ126" s="5" t="s">
        <v>189</v>
      </c>
      <c r="BA126" s="5">
        <v>1039</v>
      </c>
    </row>
    <row r="127" ht="17" customHeight="1" spans="1:53">
      <c r="A127" s="31">
        <v>83</v>
      </c>
      <c r="B127" s="51" t="s">
        <v>171</v>
      </c>
      <c r="C127" s="31" t="s">
        <v>90</v>
      </c>
      <c r="D127" s="31">
        <v>2018</v>
      </c>
      <c r="E127" s="31"/>
      <c r="F127" s="31"/>
      <c r="G127" s="189">
        <f t="shared" si="248"/>
        <v>1437</v>
      </c>
      <c r="H127" s="189">
        <f t="shared" si="249"/>
        <v>791.426649276279</v>
      </c>
      <c r="I127" s="189">
        <v>36343</v>
      </c>
      <c r="J127" s="44">
        <f t="shared" si="236"/>
        <v>21805.8</v>
      </c>
      <c r="K127" s="44">
        <f t="shared" si="237"/>
        <v>0</v>
      </c>
      <c r="L127" s="44">
        <f t="shared" si="238"/>
        <v>0</v>
      </c>
      <c r="M127" s="44">
        <f t="shared" si="239"/>
        <v>21805.8</v>
      </c>
      <c r="N127" s="44">
        <f t="shared" si="240"/>
        <v>0</v>
      </c>
      <c r="O127" s="44">
        <f t="shared" si="241"/>
        <v>0</v>
      </c>
      <c r="P127" s="44">
        <v>4488</v>
      </c>
      <c r="Q127" s="44">
        <v>9495</v>
      </c>
      <c r="R127" s="44">
        <f t="shared" si="250"/>
        <v>7596</v>
      </c>
      <c r="S127" s="44"/>
      <c r="T127" s="44"/>
      <c r="U127" s="44">
        <f t="shared" si="259"/>
        <v>7596</v>
      </c>
      <c r="V127" s="44"/>
      <c r="W127" s="44">
        <f t="shared" si="252"/>
        <v>476.05989537191</v>
      </c>
      <c r="X127" s="76">
        <v>12484</v>
      </c>
      <c r="Y127" s="115">
        <f t="shared" si="253"/>
        <v>0.0677388836329234</v>
      </c>
      <c r="Z127" s="44">
        <f t="shared" si="254"/>
        <v>168.490150895945</v>
      </c>
      <c r="AA127" s="44"/>
      <c r="AB127" s="44"/>
      <c r="AC127" s="44"/>
      <c r="AD127" s="76"/>
      <c r="AE127" s="44">
        <f t="shared" si="255"/>
        <v>0</v>
      </c>
      <c r="AF127" s="44"/>
      <c r="AG127" s="44">
        <v>7</v>
      </c>
      <c r="AH127" s="44"/>
      <c r="AI127" s="44"/>
      <c r="AJ127" s="115">
        <f>VLOOKUP(B:B,'表6资金使用成效（12月30日）'!B:L,11,0)</f>
        <v>0.95129442738043</v>
      </c>
      <c r="AK127" s="44">
        <f t="shared" si="256"/>
        <v>61.283952296787</v>
      </c>
      <c r="AL127" s="76">
        <v>92.58</v>
      </c>
      <c r="AM127" s="44">
        <f t="shared" si="257"/>
        <v>61.5015227297939</v>
      </c>
      <c r="AN127" s="67">
        <f t="shared" si="258"/>
        <v>767</v>
      </c>
      <c r="AO127" s="67">
        <f t="shared" si="242"/>
        <v>-670</v>
      </c>
      <c r="AP127" s="125">
        <f t="shared" si="125"/>
        <v>-0.46624913013222</v>
      </c>
      <c r="AQ127" s="44">
        <f t="shared" si="243"/>
        <v>-24.426649276279</v>
      </c>
      <c r="AR127" s="198">
        <f t="shared" si="126"/>
        <v>-0.0308640722404483</v>
      </c>
      <c r="AZ127" s="5" t="s">
        <v>190</v>
      </c>
      <c r="BA127" s="5">
        <v>10058</v>
      </c>
    </row>
    <row r="128" ht="17" customHeight="1" spans="1:53">
      <c r="A128" s="31">
        <v>84</v>
      </c>
      <c r="B128" s="51" t="s">
        <v>172</v>
      </c>
      <c r="C128" s="31" t="s">
        <v>90</v>
      </c>
      <c r="D128" s="31">
        <v>2018</v>
      </c>
      <c r="E128" s="31"/>
      <c r="F128" s="31"/>
      <c r="G128" s="189">
        <f t="shared" si="248"/>
        <v>2941</v>
      </c>
      <c r="H128" s="189">
        <f t="shared" si="249"/>
        <v>1619.75349723141</v>
      </c>
      <c r="I128" s="189">
        <v>20962</v>
      </c>
      <c r="J128" s="44">
        <f t="shared" si="236"/>
        <v>12577.2</v>
      </c>
      <c r="K128" s="44">
        <f t="shared" si="237"/>
        <v>0</v>
      </c>
      <c r="L128" s="44">
        <f t="shared" si="238"/>
        <v>0</v>
      </c>
      <c r="M128" s="44">
        <f t="shared" si="239"/>
        <v>12577.2</v>
      </c>
      <c r="N128" s="44">
        <f t="shared" si="240"/>
        <v>0</v>
      </c>
      <c r="O128" s="44">
        <f t="shared" si="241"/>
        <v>0</v>
      </c>
      <c r="P128" s="44">
        <v>3031</v>
      </c>
      <c r="Q128" s="44">
        <v>2322</v>
      </c>
      <c r="R128" s="44">
        <f t="shared" si="250"/>
        <v>1393.2</v>
      </c>
      <c r="S128" s="44"/>
      <c r="T128" s="44">
        <f>Q128*0.6</f>
        <v>1393.2</v>
      </c>
      <c r="U128" s="44"/>
      <c r="V128" s="44"/>
      <c r="W128" s="44">
        <f t="shared" si="252"/>
        <v>234.471050645487</v>
      </c>
      <c r="X128" s="76">
        <v>11922</v>
      </c>
      <c r="Y128" s="115">
        <f t="shared" si="253"/>
        <v>0.174077578051088</v>
      </c>
      <c r="Z128" s="44">
        <f t="shared" si="254"/>
        <v>432.991449229802</v>
      </c>
      <c r="AA128" s="44"/>
      <c r="AB128" s="44"/>
      <c r="AC128" s="44"/>
      <c r="AD128" s="76"/>
      <c r="AE128" s="44">
        <f t="shared" si="255"/>
        <v>0</v>
      </c>
      <c r="AF128" s="44"/>
      <c r="AG128" s="44">
        <v>6</v>
      </c>
      <c r="AH128" s="44"/>
      <c r="AI128" s="44"/>
      <c r="AJ128" s="115">
        <f>VLOOKUP(B:B,'表6资金使用成效（12月30日）'!B:L,11,0)</f>
        <v>0.968228196255878</v>
      </c>
      <c r="AK128" s="44">
        <f t="shared" si="256"/>
        <v>62.3748535510133</v>
      </c>
      <c r="AL128" s="76">
        <v>91.02</v>
      </c>
      <c r="AM128" s="44">
        <f t="shared" si="257"/>
        <v>60.4652041355135</v>
      </c>
      <c r="AN128" s="67">
        <f t="shared" si="258"/>
        <v>790</v>
      </c>
      <c r="AO128" s="67">
        <f t="shared" si="242"/>
        <v>-2151</v>
      </c>
      <c r="AP128" s="125">
        <f t="shared" si="125"/>
        <v>-0.731383883032982</v>
      </c>
      <c r="AQ128" s="44">
        <f t="shared" si="243"/>
        <v>-829.75349723141</v>
      </c>
      <c r="AR128" s="198">
        <f t="shared" si="126"/>
        <v>-0.5122714651641</v>
      </c>
      <c r="AZ128" s="5" t="s">
        <v>191</v>
      </c>
      <c r="BA128" s="5">
        <v>0</v>
      </c>
    </row>
    <row r="129" ht="17" customHeight="1" spans="1:53">
      <c r="A129" s="31">
        <v>85</v>
      </c>
      <c r="B129" s="51" t="s">
        <v>173</v>
      </c>
      <c r="C129" s="31" t="s">
        <v>78</v>
      </c>
      <c r="D129" s="31"/>
      <c r="E129" s="31"/>
      <c r="F129" s="31"/>
      <c r="G129" s="189">
        <f t="shared" si="248"/>
        <v>2078</v>
      </c>
      <c r="H129" s="189">
        <f t="shared" si="249"/>
        <v>1144.45690827843</v>
      </c>
      <c r="I129" s="189">
        <v>18733</v>
      </c>
      <c r="J129" s="44">
        <f t="shared" si="236"/>
        <v>3746.6</v>
      </c>
      <c r="K129" s="44">
        <f t="shared" si="237"/>
        <v>3746.6</v>
      </c>
      <c r="L129" s="44">
        <f t="shared" si="238"/>
        <v>0</v>
      </c>
      <c r="M129" s="44">
        <f t="shared" si="239"/>
        <v>0</v>
      </c>
      <c r="N129" s="44">
        <f t="shared" si="240"/>
        <v>0</v>
      </c>
      <c r="O129" s="44">
        <f t="shared" si="241"/>
        <v>0</v>
      </c>
      <c r="P129" s="44">
        <v>2225</v>
      </c>
      <c r="Q129" s="44">
        <v>3836</v>
      </c>
      <c r="R129" s="44">
        <f t="shared" si="250"/>
        <v>3068.8</v>
      </c>
      <c r="S129" s="44"/>
      <c r="T129" s="44"/>
      <c r="U129" s="44">
        <f t="shared" ref="U129:U131" si="260">Q129*0.8</f>
        <v>3068.8</v>
      </c>
      <c r="V129" s="44"/>
      <c r="W129" s="44">
        <f t="shared" si="252"/>
        <v>136.296048181958</v>
      </c>
      <c r="X129" s="76">
        <v>14671</v>
      </c>
      <c r="Y129" s="115">
        <f t="shared" si="253"/>
        <v>0</v>
      </c>
      <c r="Z129" s="44">
        <f t="shared" si="254"/>
        <v>0</v>
      </c>
      <c r="AA129" s="44"/>
      <c r="AB129" s="44"/>
      <c r="AC129" s="44"/>
      <c r="AD129" s="76"/>
      <c r="AE129" s="44">
        <f t="shared" si="255"/>
        <v>0</v>
      </c>
      <c r="AF129" s="44"/>
      <c r="AG129" s="44">
        <v>8</v>
      </c>
      <c r="AH129" s="44">
        <f>AG129/$AG$13*9347</f>
        <v>310.273858921162</v>
      </c>
      <c r="AI129" s="44"/>
      <c r="AJ129" s="115">
        <f>VLOOKUP(B:B,'表6资金使用成效（12月30日）'!B:L,11,0)</f>
        <v>0.966629558403094</v>
      </c>
      <c r="AK129" s="44">
        <f t="shared" si="256"/>
        <v>62.271866670096</v>
      </c>
      <c r="AL129" s="76">
        <v>91.4</v>
      </c>
      <c r="AM129" s="44">
        <f t="shared" si="257"/>
        <v>60.7176407161716</v>
      </c>
      <c r="AN129" s="67">
        <f t="shared" si="258"/>
        <v>259</v>
      </c>
      <c r="AO129" s="67">
        <f t="shared" si="242"/>
        <v>-1819</v>
      </c>
      <c r="AP129" s="125">
        <f t="shared" si="125"/>
        <v>-0.875360923965351</v>
      </c>
      <c r="AQ129" s="44">
        <f t="shared" si="243"/>
        <v>-885.45690827843</v>
      </c>
      <c r="AR129" s="198">
        <f t="shared" si="126"/>
        <v>-0.773691785049727</v>
      </c>
      <c r="AZ129" s="5" t="s">
        <v>192</v>
      </c>
      <c r="BA129" s="5">
        <v>1025</v>
      </c>
    </row>
    <row r="130" ht="17" customHeight="1" spans="1:53">
      <c r="A130" s="31">
        <v>86</v>
      </c>
      <c r="B130" s="51" t="s">
        <v>174</v>
      </c>
      <c r="C130" s="31" t="s">
        <v>93</v>
      </c>
      <c r="D130" s="31">
        <v>2019</v>
      </c>
      <c r="E130" s="31" t="s">
        <v>94</v>
      </c>
      <c r="F130" s="31"/>
      <c r="G130" s="189">
        <f t="shared" si="248"/>
        <v>5313</v>
      </c>
      <c r="H130" s="189">
        <f t="shared" si="249"/>
        <v>2926.13068030958</v>
      </c>
      <c r="I130" s="189">
        <v>95507</v>
      </c>
      <c r="J130" s="44">
        <f t="shared" si="236"/>
        <v>76405.6</v>
      </c>
      <c r="K130" s="44">
        <f t="shared" si="237"/>
        <v>0</v>
      </c>
      <c r="L130" s="44">
        <f t="shared" si="238"/>
        <v>0</v>
      </c>
      <c r="M130" s="44">
        <f t="shared" si="239"/>
        <v>0</v>
      </c>
      <c r="N130" s="44">
        <f t="shared" si="240"/>
        <v>76405.6</v>
      </c>
      <c r="O130" s="44">
        <f t="shared" si="241"/>
        <v>0</v>
      </c>
      <c r="P130" s="44">
        <v>10525</v>
      </c>
      <c r="Q130" s="44">
        <v>9638</v>
      </c>
      <c r="R130" s="44">
        <f t="shared" si="250"/>
        <v>7710.4</v>
      </c>
      <c r="S130" s="44"/>
      <c r="T130" s="44"/>
      <c r="U130" s="44">
        <f t="shared" si="260"/>
        <v>7710.4</v>
      </c>
      <c r="V130" s="44"/>
      <c r="W130" s="44">
        <f t="shared" si="252"/>
        <v>1270.50127886168</v>
      </c>
      <c r="X130" s="76">
        <v>11916</v>
      </c>
      <c r="Y130" s="115">
        <f t="shared" si="253"/>
        <v>0.175212866603595</v>
      </c>
      <c r="Z130" s="44">
        <f t="shared" si="254"/>
        <v>435.815306507387</v>
      </c>
      <c r="AA130" s="44"/>
      <c r="AB130" s="44"/>
      <c r="AC130" s="44"/>
      <c r="AD130" s="76">
        <f>J130</f>
        <v>76405.6</v>
      </c>
      <c r="AE130" s="44">
        <f>H130-W130-Z130-AC130-AK130-AM130</f>
        <v>1107.49543990256</v>
      </c>
      <c r="AF130" s="44"/>
      <c r="AG130" s="44">
        <v>5</v>
      </c>
      <c r="AH130" s="44"/>
      <c r="AI130" s="44"/>
      <c r="AJ130" s="115">
        <f>VLOOKUP(B:B,'表6资金使用成效（12月30日）'!B:L,11,0)</f>
        <v>0.920709425770019</v>
      </c>
      <c r="AK130" s="44">
        <f t="shared" si="256"/>
        <v>59.3136161676761</v>
      </c>
      <c r="AL130" s="76">
        <v>79.79</v>
      </c>
      <c r="AM130" s="44">
        <f t="shared" si="257"/>
        <v>53.0050388702771</v>
      </c>
      <c r="AN130" s="67">
        <f t="shared" si="258"/>
        <v>2926</v>
      </c>
      <c r="AO130" s="67">
        <f t="shared" si="242"/>
        <v>-2387</v>
      </c>
      <c r="AP130" s="125">
        <f t="shared" si="125"/>
        <v>-0.449275362318841</v>
      </c>
      <c r="AQ130" s="44">
        <f t="shared" si="243"/>
        <v>-0.13068030957993</v>
      </c>
      <c r="AR130" s="198">
        <f t="shared" si="126"/>
        <v>-4.46597653547393e-5</v>
      </c>
      <c r="AZ130" s="5" t="s">
        <v>193</v>
      </c>
      <c r="BA130" s="5">
        <v>2787</v>
      </c>
    </row>
    <row r="131" ht="17" customHeight="1" spans="1:53">
      <c r="A131" s="31">
        <v>87</v>
      </c>
      <c r="B131" s="51" t="s">
        <v>175</v>
      </c>
      <c r="C131" s="31" t="s">
        <v>78</v>
      </c>
      <c r="D131" s="31"/>
      <c r="E131" s="31"/>
      <c r="F131" s="31"/>
      <c r="G131" s="189">
        <f t="shared" si="248"/>
        <v>1380</v>
      </c>
      <c r="H131" s="189">
        <f t="shared" si="249"/>
        <v>760.033942937554</v>
      </c>
      <c r="I131" s="189">
        <v>24287</v>
      </c>
      <c r="J131" s="44">
        <f t="shared" si="236"/>
        <v>4857.4</v>
      </c>
      <c r="K131" s="44">
        <f t="shared" si="237"/>
        <v>4857.4</v>
      </c>
      <c r="L131" s="44">
        <f t="shared" si="238"/>
        <v>0</v>
      </c>
      <c r="M131" s="44">
        <f t="shared" si="239"/>
        <v>0</v>
      </c>
      <c r="N131" s="44">
        <f t="shared" si="240"/>
        <v>0</v>
      </c>
      <c r="O131" s="44">
        <f t="shared" si="241"/>
        <v>0</v>
      </c>
      <c r="P131" s="44">
        <v>2811</v>
      </c>
      <c r="Q131" s="44">
        <v>4811</v>
      </c>
      <c r="R131" s="44">
        <f t="shared" si="250"/>
        <v>3848.8</v>
      </c>
      <c r="S131" s="44"/>
      <c r="T131" s="44"/>
      <c r="U131" s="44">
        <f t="shared" si="260"/>
        <v>3848.8</v>
      </c>
      <c r="V131" s="44"/>
      <c r="W131" s="44">
        <f t="shared" si="252"/>
        <v>173.292636543139</v>
      </c>
      <c r="X131" s="76">
        <v>14035</v>
      </c>
      <c r="Y131" s="115">
        <f t="shared" si="253"/>
        <v>0</v>
      </c>
      <c r="Z131" s="44">
        <f t="shared" si="254"/>
        <v>0</v>
      </c>
      <c r="AA131" s="44"/>
      <c r="AB131" s="44"/>
      <c r="AC131" s="44"/>
      <c r="AD131" s="76"/>
      <c r="AE131" s="44">
        <f t="shared" si="255"/>
        <v>0</v>
      </c>
      <c r="AF131" s="44"/>
      <c r="AG131" s="44">
        <v>6</v>
      </c>
      <c r="AH131" s="44">
        <f>AG131/$AG$13*9347</f>
        <v>232.705394190871</v>
      </c>
      <c r="AI131" s="44"/>
      <c r="AJ131" s="115">
        <f>VLOOKUP(B:B,'表6资金使用成效（12月30日）'!B:L,11,0)</f>
        <v>0.952571021635365</v>
      </c>
      <c r="AK131" s="44">
        <f t="shared" si="256"/>
        <v>61.3661925992318</v>
      </c>
      <c r="AL131" s="76">
        <v>89.52</v>
      </c>
      <c r="AM131" s="44">
        <f t="shared" si="257"/>
        <v>59.4687439487054</v>
      </c>
      <c r="AN131" s="67">
        <f t="shared" si="258"/>
        <v>294</v>
      </c>
      <c r="AO131" s="67">
        <f t="shared" si="242"/>
        <v>-1086</v>
      </c>
      <c r="AP131" s="125">
        <f t="shared" si="125"/>
        <v>-0.78695652173913</v>
      </c>
      <c r="AQ131" s="44">
        <f t="shared" si="243"/>
        <v>-466.033942937554</v>
      </c>
      <c r="AR131" s="198">
        <f t="shared" si="126"/>
        <v>-0.613175171014493</v>
      </c>
      <c r="AZ131" s="5" t="s">
        <v>194</v>
      </c>
      <c r="BA131" s="5">
        <v>2102</v>
      </c>
    </row>
    <row r="132" s="6" customFormat="1" ht="17" customHeight="1" spans="1:75">
      <c r="A132" s="39"/>
      <c r="B132" s="40" t="s">
        <v>176</v>
      </c>
      <c r="C132" s="41">
        <v>1</v>
      </c>
      <c r="D132" s="41"/>
      <c r="E132" s="41"/>
      <c r="F132" s="41"/>
      <c r="G132" s="119">
        <f>G133+G134</f>
        <v>16711</v>
      </c>
      <c r="H132" s="119">
        <f>H133+H134</f>
        <v>9203.57044958657</v>
      </c>
      <c r="I132" s="119">
        <f t="shared" ref="I132:O132" si="261">I133+I134</f>
        <v>392543</v>
      </c>
      <c r="J132" s="43">
        <f t="shared" si="261"/>
        <v>226634.8</v>
      </c>
      <c r="K132" s="43">
        <f t="shared" si="261"/>
        <v>2894.2</v>
      </c>
      <c r="L132" s="43">
        <f t="shared" si="261"/>
        <v>60852</v>
      </c>
      <c r="M132" s="43">
        <f t="shared" si="261"/>
        <v>53595</v>
      </c>
      <c r="N132" s="43">
        <f t="shared" si="261"/>
        <v>109293.6</v>
      </c>
      <c r="O132" s="43">
        <f t="shared" si="261"/>
        <v>0</v>
      </c>
      <c r="P132" s="43">
        <v>36980</v>
      </c>
      <c r="Q132" s="43">
        <f t="shared" ref="Q132:W132" si="262">Q133+Q134</f>
        <v>17911</v>
      </c>
      <c r="R132" s="43">
        <f t="shared" si="262"/>
        <v>11488</v>
      </c>
      <c r="S132" s="43">
        <f t="shared" si="262"/>
        <v>372</v>
      </c>
      <c r="T132" s="43">
        <f t="shared" si="262"/>
        <v>7406.4</v>
      </c>
      <c r="U132" s="43">
        <f t="shared" si="262"/>
        <v>3709.6</v>
      </c>
      <c r="V132" s="43">
        <f t="shared" si="262"/>
        <v>0</v>
      </c>
      <c r="W132" s="43">
        <f t="shared" si="262"/>
        <v>3689.01691330008</v>
      </c>
      <c r="X132" s="77"/>
      <c r="Y132" s="118">
        <f t="shared" ref="Y132:AI132" si="263">Y133+Y134</f>
        <v>1.48003784295175</v>
      </c>
      <c r="Z132" s="43">
        <f t="shared" si="263"/>
        <v>3681.36860421251</v>
      </c>
      <c r="AA132" s="43">
        <v>0</v>
      </c>
      <c r="AB132" s="43">
        <f t="shared" si="263"/>
        <v>0</v>
      </c>
      <c r="AC132" s="43">
        <f t="shared" si="263"/>
        <v>0</v>
      </c>
      <c r="AD132" s="54">
        <f t="shared" si="263"/>
        <v>176397.6</v>
      </c>
      <c r="AE132" s="43">
        <f t="shared" si="263"/>
        <v>382.6089461254</v>
      </c>
      <c r="AF132" s="119">
        <f t="shared" si="263"/>
        <v>0</v>
      </c>
      <c r="AG132" s="119">
        <f t="shared" si="263"/>
        <v>81</v>
      </c>
      <c r="AH132" s="119">
        <f t="shared" si="263"/>
        <v>1124.74273858921</v>
      </c>
      <c r="AI132" s="43">
        <f t="shared" si="263"/>
        <v>2000</v>
      </c>
      <c r="AJ132" s="118"/>
      <c r="AK132" s="43">
        <f t="shared" ref="AK132:AO132" si="264">AK133+AK134</f>
        <v>711.139868108025</v>
      </c>
      <c r="AL132" s="54">
        <f t="shared" si="264"/>
        <v>1098.49</v>
      </c>
      <c r="AM132" s="43">
        <f t="shared" si="264"/>
        <v>729.734367071196</v>
      </c>
      <c r="AN132" s="119">
        <f t="shared" si="264"/>
        <v>11194</v>
      </c>
      <c r="AO132" s="119">
        <f t="shared" si="264"/>
        <v>-5517</v>
      </c>
      <c r="AP132" s="125">
        <f t="shared" si="125"/>
        <v>-0.330141822751481</v>
      </c>
      <c r="AQ132" s="118">
        <f>AQ133+AQ134</f>
        <v>1990.42955041343</v>
      </c>
      <c r="AR132" s="198">
        <f t="shared" si="126"/>
        <v>0.216267106479621</v>
      </c>
      <c r="AS132" s="5"/>
      <c r="AT132" s="5"/>
      <c r="AU132" s="5"/>
      <c r="AV132" s="5"/>
      <c r="AW132" s="5"/>
      <c r="AX132" s="5"/>
      <c r="AY132" s="5"/>
      <c r="AZ132" s="5" t="s">
        <v>195</v>
      </c>
      <c r="BA132" s="5">
        <v>1872</v>
      </c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</row>
    <row r="133" ht="17" customHeight="1" spans="1:53">
      <c r="A133" s="29"/>
      <c r="B133" s="30" t="s">
        <v>177</v>
      </c>
      <c r="C133" s="31">
        <v>2</v>
      </c>
      <c r="D133" s="31"/>
      <c r="E133" s="31"/>
      <c r="F133" s="31"/>
      <c r="G133" s="189"/>
      <c r="H133" s="189"/>
      <c r="I133" s="189"/>
      <c r="J133" s="44">
        <f t="shared" ref="J133:J146" si="265">SUM(K133:O133)</f>
        <v>0</v>
      </c>
      <c r="K133" s="44">
        <f t="shared" ref="K133:K146" si="266">IF(D133="",I133*0.2,0)</f>
        <v>0</v>
      </c>
      <c r="L133" s="44">
        <f t="shared" ref="L133:L146" si="267">IF(D133=2017,I133*0.4,0)</f>
        <v>0</v>
      </c>
      <c r="M133" s="44">
        <f t="shared" ref="M133:M146" si="268">IF(D133=2018,I133*0.6,0)</f>
        <v>0</v>
      </c>
      <c r="N133" s="44">
        <f t="shared" ref="N133:N146" si="269">IF(D133=2019,I133*0.8,0)</f>
        <v>0</v>
      </c>
      <c r="O133" s="44">
        <f t="shared" ref="O133:O146" si="270">IF(D133=2020,I133*1,0)</f>
        <v>0</v>
      </c>
      <c r="P133" s="44"/>
      <c r="Q133" s="44"/>
      <c r="R133" s="44">
        <f>N133*0.4+O133*0.6+P133*0.8+Q133*1</f>
        <v>0</v>
      </c>
      <c r="S133" s="44">
        <f>Q133-T133-U133-V133</f>
        <v>0</v>
      </c>
      <c r="T133" s="44"/>
      <c r="U133" s="44"/>
      <c r="V133" s="44"/>
      <c r="W133" s="44"/>
      <c r="X133" s="76"/>
      <c r="Y133" s="115"/>
      <c r="Z133" s="44"/>
      <c r="AA133" s="44"/>
      <c r="AB133" s="44"/>
      <c r="AC133" s="44"/>
      <c r="AD133" s="76"/>
      <c r="AE133" s="44"/>
      <c r="AF133" s="44"/>
      <c r="AG133" s="44"/>
      <c r="AH133" s="44"/>
      <c r="AI133" s="44"/>
      <c r="AJ133" s="115"/>
      <c r="AK133" s="44">
        <f>AJ133/$AJ$9*0.05*200000</f>
        <v>0</v>
      </c>
      <c r="AL133" s="76"/>
      <c r="AM133" s="44">
        <f>(AL133/$AL$9)*0.05*200000</f>
        <v>0</v>
      </c>
      <c r="AN133" s="67">
        <f>ROUND(AM133+AK133+AE133+AC133+Z133+W133,0)</f>
        <v>0</v>
      </c>
      <c r="AO133" s="67">
        <f t="shared" ref="AO133:AO146" si="271">AN133-G133</f>
        <v>0</v>
      </c>
      <c r="AP133" s="125"/>
      <c r="AQ133" s="115">
        <f t="shared" ref="AQ133:AQ146" si="272">AN133-H133</f>
        <v>0</v>
      </c>
      <c r="AR133" s="198"/>
      <c r="AZ133" s="5" t="s">
        <v>196</v>
      </c>
      <c r="BA133" s="5">
        <v>2272</v>
      </c>
    </row>
    <row r="134" s="7" customFormat="1" ht="17" customHeight="1" spans="1:75">
      <c r="A134" s="45"/>
      <c r="B134" s="46" t="s">
        <v>76</v>
      </c>
      <c r="C134" s="47">
        <v>3</v>
      </c>
      <c r="D134" s="47"/>
      <c r="E134" s="47"/>
      <c r="F134" s="47"/>
      <c r="G134" s="121">
        <f>SUM(G135:G146)</f>
        <v>16711</v>
      </c>
      <c r="H134" s="121">
        <f>SUM(H135:H146)</f>
        <v>9203.57044958657</v>
      </c>
      <c r="I134" s="121">
        <f t="shared" ref="I134:O134" si="273">SUM(I135:I146)</f>
        <v>392543</v>
      </c>
      <c r="J134" s="49">
        <f t="shared" si="273"/>
        <v>226634.8</v>
      </c>
      <c r="K134" s="49">
        <f t="shared" si="273"/>
        <v>2894.2</v>
      </c>
      <c r="L134" s="49">
        <f t="shared" si="273"/>
        <v>60852</v>
      </c>
      <c r="M134" s="49">
        <f t="shared" si="273"/>
        <v>53595</v>
      </c>
      <c r="N134" s="49">
        <f t="shared" si="273"/>
        <v>109293.6</v>
      </c>
      <c r="O134" s="49">
        <f t="shared" si="273"/>
        <v>0</v>
      </c>
      <c r="P134" s="49">
        <v>36980</v>
      </c>
      <c r="Q134" s="49">
        <f t="shared" ref="Q134:W134" si="274">SUM(Q135:Q146)</f>
        <v>17911</v>
      </c>
      <c r="R134" s="49">
        <f t="shared" si="274"/>
        <v>11488</v>
      </c>
      <c r="S134" s="49">
        <f t="shared" si="274"/>
        <v>372</v>
      </c>
      <c r="T134" s="49">
        <f t="shared" si="274"/>
        <v>7406.4</v>
      </c>
      <c r="U134" s="49">
        <f t="shared" si="274"/>
        <v>3709.6</v>
      </c>
      <c r="V134" s="49">
        <f t="shared" si="274"/>
        <v>0</v>
      </c>
      <c r="W134" s="49">
        <f t="shared" si="274"/>
        <v>3689.01691330008</v>
      </c>
      <c r="X134" s="78"/>
      <c r="Y134" s="120">
        <f t="shared" ref="Y134:AI134" si="275">SUM(Y135:Y146)</f>
        <v>1.48003784295175</v>
      </c>
      <c r="Z134" s="49">
        <f t="shared" si="275"/>
        <v>3681.36860421251</v>
      </c>
      <c r="AA134" s="49">
        <v>0</v>
      </c>
      <c r="AB134" s="49">
        <f t="shared" si="275"/>
        <v>0</v>
      </c>
      <c r="AC134" s="49">
        <f t="shared" si="275"/>
        <v>0</v>
      </c>
      <c r="AD134" s="55">
        <f t="shared" si="275"/>
        <v>176397.6</v>
      </c>
      <c r="AE134" s="49">
        <f t="shared" si="275"/>
        <v>382.6089461254</v>
      </c>
      <c r="AF134" s="121">
        <f t="shared" si="275"/>
        <v>0</v>
      </c>
      <c r="AG134" s="121">
        <f t="shared" si="275"/>
        <v>81</v>
      </c>
      <c r="AH134" s="121">
        <f t="shared" si="275"/>
        <v>1124.74273858921</v>
      </c>
      <c r="AI134" s="49">
        <f t="shared" si="275"/>
        <v>2000</v>
      </c>
      <c r="AJ134" s="120"/>
      <c r="AK134" s="49">
        <f t="shared" ref="AK134:AO134" si="276">SUM(AK135:AK146)</f>
        <v>711.139868108025</v>
      </c>
      <c r="AL134" s="55">
        <f t="shared" si="276"/>
        <v>1098.49</v>
      </c>
      <c r="AM134" s="49">
        <f t="shared" si="276"/>
        <v>729.734367071196</v>
      </c>
      <c r="AN134" s="121">
        <f t="shared" si="276"/>
        <v>11194</v>
      </c>
      <c r="AO134" s="121">
        <f t="shared" si="276"/>
        <v>-5517</v>
      </c>
      <c r="AP134" s="125">
        <f t="shared" si="125"/>
        <v>-0.330141822751481</v>
      </c>
      <c r="AQ134" s="120">
        <f>SUM(AQ135:AQ146)</f>
        <v>1990.42955041343</v>
      </c>
      <c r="AR134" s="198">
        <f t="shared" si="126"/>
        <v>0.216267106479621</v>
      </c>
      <c r="AS134" s="5"/>
      <c r="AT134" s="5"/>
      <c r="AU134" s="5"/>
      <c r="AV134" s="5"/>
      <c r="AW134" s="5"/>
      <c r="AX134" s="5"/>
      <c r="AY134" s="5"/>
      <c r="AZ134" s="5" t="s">
        <v>197</v>
      </c>
      <c r="BA134" s="5">
        <v>7555</v>
      </c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</row>
    <row r="135" ht="17" customHeight="1" spans="1:53">
      <c r="A135" s="31">
        <v>88</v>
      </c>
      <c r="B135" s="51" t="s">
        <v>178</v>
      </c>
      <c r="C135" s="31" t="s">
        <v>78</v>
      </c>
      <c r="D135" s="31"/>
      <c r="E135" s="31"/>
      <c r="F135" s="31"/>
      <c r="G135" s="189">
        <f t="shared" ref="G135:G146" si="277">VLOOKUP(B:B,$AZ:$BA,2,0)</f>
        <v>898</v>
      </c>
      <c r="H135" s="189">
        <f t="shared" ref="H135:H146" si="278">G135*210000/381298.76</f>
        <v>494.572812143423</v>
      </c>
      <c r="I135" s="189">
        <v>14471</v>
      </c>
      <c r="J135" s="44">
        <f t="shared" si="265"/>
        <v>2894.2</v>
      </c>
      <c r="K135" s="44">
        <f t="shared" si="266"/>
        <v>2894.2</v>
      </c>
      <c r="L135" s="44">
        <f t="shared" si="267"/>
        <v>0</v>
      </c>
      <c r="M135" s="44">
        <f t="shared" si="268"/>
        <v>0</v>
      </c>
      <c r="N135" s="44">
        <f t="shared" si="269"/>
        <v>0</v>
      </c>
      <c r="O135" s="44">
        <f t="shared" si="270"/>
        <v>0</v>
      </c>
      <c r="P135" s="44">
        <v>649</v>
      </c>
      <c r="Q135" s="44">
        <v>153</v>
      </c>
      <c r="R135" s="44">
        <f t="shared" ref="R135:R146" si="279">S135+T135+U135+V135</f>
        <v>61.2</v>
      </c>
      <c r="S135" s="44">
        <f>Q135*0.4</f>
        <v>61.2</v>
      </c>
      <c r="T135" s="44"/>
      <c r="U135" s="44"/>
      <c r="V135" s="44"/>
      <c r="W135" s="44">
        <f t="shared" ref="W135:W146" si="280">(J135/$J$9*0.2+P135/$P$9*0.05+R135/$R$9*0.05)*299423</f>
        <v>48.9114744525607</v>
      </c>
      <c r="X135" s="76">
        <v>18968</v>
      </c>
      <c r="Y135" s="115">
        <f t="shared" ref="Y135:Y146" si="281">IF(X135&lt;12842,(12842-X135)/(12842-$X$175),0)</f>
        <v>0</v>
      </c>
      <c r="Z135" s="44">
        <f t="shared" ref="Z135:Z146" si="282">(Y135/$Y$9*0.15)*299423</f>
        <v>0</v>
      </c>
      <c r="AA135" s="44"/>
      <c r="AB135" s="44"/>
      <c r="AC135" s="44"/>
      <c r="AD135" s="76"/>
      <c r="AE135" s="44">
        <f t="shared" ref="AE135:AE138" si="283">AD135/$AD$9*71500</f>
        <v>0</v>
      </c>
      <c r="AF135" s="44"/>
      <c r="AG135" s="44">
        <v>29</v>
      </c>
      <c r="AH135" s="44">
        <f>AG135/$AG$13*9347</f>
        <v>1124.74273858921</v>
      </c>
      <c r="AI135" s="44"/>
      <c r="AJ135" s="115">
        <f>VLOOKUP(B:B,'表6资金使用成效（12月30日）'!B:L,11,0)</f>
        <v>0.932899250516185</v>
      </c>
      <c r="AK135" s="44">
        <f t="shared" ref="AK135:AK146" si="284">AJ135/$AJ$9*0.025*299423</f>
        <v>60.0989047352832</v>
      </c>
      <c r="AL135" s="76">
        <v>92.21</v>
      </c>
      <c r="AM135" s="44">
        <f t="shared" ref="AM135:AM146" si="285">(AL135/$AL$9)*0.025*299423</f>
        <v>61.2557292170479</v>
      </c>
      <c r="AN135" s="67">
        <f t="shared" ref="AN135:AN146" si="286">ROUND(AM135+AK135+AE135+AC135+Z135+W135+AI135+AF135,0)</f>
        <v>170</v>
      </c>
      <c r="AO135" s="67">
        <f t="shared" si="271"/>
        <v>-728</v>
      </c>
      <c r="AP135" s="125">
        <f t="shared" si="125"/>
        <v>-0.810690423162584</v>
      </c>
      <c r="AQ135" s="44">
        <f t="shared" si="272"/>
        <v>-324.572812143423</v>
      </c>
      <c r="AR135" s="198">
        <f t="shared" si="126"/>
        <v>-0.656269014741754</v>
      </c>
      <c r="AZ135" s="5" t="s">
        <v>198</v>
      </c>
      <c r="BA135" s="5">
        <v>0</v>
      </c>
    </row>
    <row r="136" ht="17" customHeight="1" spans="1:53">
      <c r="A136" s="31">
        <v>89</v>
      </c>
      <c r="B136" s="51" t="s">
        <v>179</v>
      </c>
      <c r="C136" s="31" t="s">
        <v>90</v>
      </c>
      <c r="D136" s="31">
        <v>2018</v>
      </c>
      <c r="E136" s="31"/>
      <c r="F136" s="31"/>
      <c r="G136" s="189">
        <f t="shared" si="277"/>
        <v>1596</v>
      </c>
      <c r="H136" s="189">
        <f t="shared" si="278"/>
        <v>878.995777484301</v>
      </c>
      <c r="I136" s="189">
        <v>15569</v>
      </c>
      <c r="J136" s="44">
        <f t="shared" si="265"/>
        <v>9341.4</v>
      </c>
      <c r="K136" s="44">
        <f t="shared" si="266"/>
        <v>0</v>
      </c>
      <c r="L136" s="44">
        <f t="shared" si="267"/>
        <v>0</v>
      </c>
      <c r="M136" s="44">
        <f t="shared" si="268"/>
        <v>9341.4</v>
      </c>
      <c r="N136" s="44">
        <f t="shared" si="269"/>
        <v>0</v>
      </c>
      <c r="O136" s="44">
        <f t="shared" si="270"/>
        <v>0</v>
      </c>
      <c r="P136" s="44">
        <v>1939</v>
      </c>
      <c r="Q136" s="44">
        <v>1058</v>
      </c>
      <c r="R136" s="44">
        <f t="shared" si="279"/>
        <v>634.8</v>
      </c>
      <c r="S136" s="44"/>
      <c r="T136" s="44">
        <f t="shared" ref="T136:T142" si="287">Q136*0.6</f>
        <v>634.8</v>
      </c>
      <c r="U136" s="44"/>
      <c r="V136" s="44"/>
      <c r="W136" s="44">
        <f t="shared" si="280"/>
        <v>162.102579672085</v>
      </c>
      <c r="X136" s="76">
        <v>12855</v>
      </c>
      <c r="Y136" s="115">
        <f t="shared" si="281"/>
        <v>0</v>
      </c>
      <c r="Z136" s="44">
        <f t="shared" si="282"/>
        <v>0</v>
      </c>
      <c r="AA136" s="44"/>
      <c r="AB136" s="44"/>
      <c r="AC136" s="44"/>
      <c r="AD136" s="76"/>
      <c r="AE136" s="44">
        <f t="shared" si="283"/>
        <v>0</v>
      </c>
      <c r="AF136" s="44"/>
      <c r="AG136" s="44">
        <v>6</v>
      </c>
      <c r="AH136" s="44"/>
      <c r="AI136" s="44">
        <v>2000</v>
      </c>
      <c r="AJ136" s="115">
        <f>VLOOKUP(B:B,'表6资金使用成效（12月30日）'!B:L,11,0)</f>
        <v>0.901916437327996</v>
      </c>
      <c r="AK136" s="44">
        <f t="shared" si="284"/>
        <v>58.1029409297621</v>
      </c>
      <c r="AL136" s="76">
        <v>92.97</v>
      </c>
      <c r="AM136" s="44">
        <f t="shared" si="285"/>
        <v>61.760602378364</v>
      </c>
      <c r="AN136" s="67">
        <f t="shared" si="286"/>
        <v>2282</v>
      </c>
      <c r="AO136" s="67">
        <f t="shared" si="271"/>
        <v>686</v>
      </c>
      <c r="AP136" s="125">
        <f t="shared" si="125"/>
        <v>0.429824561403509</v>
      </c>
      <c r="AQ136" s="44">
        <f t="shared" si="272"/>
        <v>1403.0042225157</v>
      </c>
      <c r="AR136" s="198">
        <f t="shared" si="126"/>
        <v>1.59614443943191</v>
      </c>
      <c r="AZ136" s="5" t="s">
        <v>199</v>
      </c>
      <c r="BA136" s="5">
        <v>2903</v>
      </c>
    </row>
    <row r="137" ht="17" customHeight="1" spans="1:53">
      <c r="A137" s="31">
        <v>90</v>
      </c>
      <c r="B137" s="51" t="s">
        <v>180</v>
      </c>
      <c r="C137" s="31" t="s">
        <v>90</v>
      </c>
      <c r="D137" s="31">
        <v>2017</v>
      </c>
      <c r="E137" s="31"/>
      <c r="F137" s="31"/>
      <c r="G137" s="189">
        <f t="shared" si="277"/>
        <v>331</v>
      </c>
      <c r="H137" s="189">
        <f t="shared" si="278"/>
        <v>182.29799645821</v>
      </c>
      <c r="I137" s="189">
        <v>30588</v>
      </c>
      <c r="J137" s="44">
        <f t="shared" si="265"/>
        <v>12235.2</v>
      </c>
      <c r="K137" s="44">
        <f t="shared" si="266"/>
        <v>0</v>
      </c>
      <c r="L137" s="44">
        <f t="shared" si="267"/>
        <v>12235.2</v>
      </c>
      <c r="M137" s="44">
        <f t="shared" si="268"/>
        <v>0</v>
      </c>
      <c r="N137" s="44">
        <f t="shared" si="269"/>
        <v>0</v>
      </c>
      <c r="O137" s="44">
        <f t="shared" si="270"/>
        <v>0</v>
      </c>
      <c r="P137" s="44">
        <v>1244</v>
      </c>
      <c r="Q137" s="44">
        <v>820</v>
      </c>
      <c r="R137" s="44">
        <f t="shared" si="279"/>
        <v>492</v>
      </c>
      <c r="S137" s="44"/>
      <c r="T137" s="44">
        <f t="shared" si="287"/>
        <v>492</v>
      </c>
      <c r="U137" s="44"/>
      <c r="V137" s="44"/>
      <c r="W137" s="44">
        <f t="shared" si="280"/>
        <v>183.571002964537</v>
      </c>
      <c r="X137" s="76">
        <v>14121</v>
      </c>
      <c r="Y137" s="115">
        <f t="shared" si="281"/>
        <v>0</v>
      </c>
      <c r="Z137" s="44">
        <f t="shared" si="282"/>
        <v>0</v>
      </c>
      <c r="AA137" s="44"/>
      <c r="AB137" s="44"/>
      <c r="AC137" s="44"/>
      <c r="AD137" s="76"/>
      <c r="AE137" s="44">
        <f t="shared" si="283"/>
        <v>0</v>
      </c>
      <c r="AF137" s="44"/>
      <c r="AG137" s="44">
        <v>5</v>
      </c>
      <c r="AH137" s="44"/>
      <c r="AI137" s="44"/>
      <c r="AJ137" s="115">
        <f>VLOOKUP(B:B,'表6资金使用成效（12月30日）'!B:L,11,0)</f>
        <v>0.902445593035909</v>
      </c>
      <c r="AK137" s="44">
        <f t="shared" si="284"/>
        <v>58.1370300111526</v>
      </c>
      <c r="AL137" s="76">
        <v>93.16</v>
      </c>
      <c r="AM137" s="44">
        <f t="shared" si="285"/>
        <v>61.886820668693</v>
      </c>
      <c r="AN137" s="67">
        <f t="shared" si="286"/>
        <v>304</v>
      </c>
      <c r="AO137" s="67">
        <f t="shared" si="271"/>
        <v>-27</v>
      </c>
      <c r="AP137" s="125">
        <f t="shared" ref="AP137:AP194" si="288">AO137/G137</f>
        <v>-0.081570996978852</v>
      </c>
      <c r="AQ137" s="44">
        <f t="shared" si="272"/>
        <v>121.70200354179</v>
      </c>
      <c r="AR137" s="198">
        <f t="shared" ref="AR137:AR194" si="289">AQ137/H137</f>
        <v>0.667599238095241</v>
      </c>
      <c r="AZ137" s="5" t="s">
        <v>200</v>
      </c>
      <c r="BA137" s="5">
        <v>46</v>
      </c>
    </row>
    <row r="138" ht="17" customHeight="1" spans="1:53">
      <c r="A138" s="31">
        <v>91</v>
      </c>
      <c r="B138" s="51" t="s">
        <v>181</v>
      </c>
      <c r="C138" s="31" t="s">
        <v>90</v>
      </c>
      <c r="D138" s="31">
        <v>2017</v>
      </c>
      <c r="E138" s="31"/>
      <c r="F138" s="31"/>
      <c r="G138" s="189">
        <f t="shared" si="277"/>
        <v>668</v>
      </c>
      <c r="H138" s="189">
        <f t="shared" si="278"/>
        <v>367.900488320497</v>
      </c>
      <c r="I138" s="189">
        <v>34586</v>
      </c>
      <c r="J138" s="44">
        <f t="shared" si="265"/>
        <v>13834.4</v>
      </c>
      <c r="K138" s="44">
        <f t="shared" si="266"/>
        <v>0</v>
      </c>
      <c r="L138" s="44">
        <f t="shared" si="267"/>
        <v>13834.4</v>
      </c>
      <c r="M138" s="44">
        <f t="shared" si="268"/>
        <v>0</v>
      </c>
      <c r="N138" s="44">
        <f t="shared" si="269"/>
        <v>0</v>
      </c>
      <c r="O138" s="44">
        <f t="shared" si="270"/>
        <v>0</v>
      </c>
      <c r="P138" s="44">
        <v>3169</v>
      </c>
      <c r="Q138" s="44">
        <v>1427</v>
      </c>
      <c r="R138" s="44">
        <f t="shared" si="279"/>
        <v>856.2</v>
      </c>
      <c r="S138" s="44"/>
      <c r="T138" s="44">
        <f t="shared" si="287"/>
        <v>856.2</v>
      </c>
      <c r="U138" s="44"/>
      <c r="V138" s="44"/>
      <c r="W138" s="44">
        <f t="shared" si="280"/>
        <v>244.065382263949</v>
      </c>
      <c r="X138" s="76">
        <v>18181</v>
      </c>
      <c r="Y138" s="115">
        <f t="shared" si="281"/>
        <v>0</v>
      </c>
      <c r="Z138" s="44">
        <f t="shared" si="282"/>
        <v>0</v>
      </c>
      <c r="AA138" s="44"/>
      <c r="AB138" s="44"/>
      <c r="AC138" s="44"/>
      <c r="AD138" s="76"/>
      <c r="AE138" s="44">
        <f t="shared" si="283"/>
        <v>0</v>
      </c>
      <c r="AF138" s="44"/>
      <c r="AG138" s="44">
        <v>4</v>
      </c>
      <c r="AH138" s="44"/>
      <c r="AI138" s="44"/>
      <c r="AJ138" s="115">
        <f>VLOOKUP(B:B,'表6资金使用成效（12月30日）'!B:L,11,0)</f>
        <v>0.923921103366454</v>
      </c>
      <c r="AK138" s="44">
        <f t="shared" si="284"/>
        <v>59.5205177230174</v>
      </c>
      <c r="AL138" s="76">
        <v>80.47</v>
      </c>
      <c r="AM138" s="44">
        <f t="shared" si="285"/>
        <v>53.4567674882968</v>
      </c>
      <c r="AN138" s="67">
        <f t="shared" si="286"/>
        <v>357</v>
      </c>
      <c r="AO138" s="67">
        <f t="shared" si="271"/>
        <v>-311</v>
      </c>
      <c r="AP138" s="125">
        <f t="shared" si="288"/>
        <v>-0.465568862275449</v>
      </c>
      <c r="AQ138" s="44">
        <f t="shared" si="272"/>
        <v>-10.900488320497</v>
      </c>
      <c r="AR138" s="198">
        <f t="shared" si="289"/>
        <v>-0.0296289041916167</v>
      </c>
      <c r="AZ138" s="5" t="s">
        <v>201</v>
      </c>
      <c r="BA138" s="5">
        <v>2176</v>
      </c>
    </row>
    <row r="139" ht="17" customHeight="1" spans="1:53">
      <c r="A139" s="31">
        <v>92</v>
      </c>
      <c r="B139" s="51" t="s">
        <v>182</v>
      </c>
      <c r="C139" s="31" t="s">
        <v>90</v>
      </c>
      <c r="D139" s="31">
        <v>2019</v>
      </c>
      <c r="E139" s="31" t="s">
        <v>91</v>
      </c>
      <c r="F139" s="31"/>
      <c r="G139" s="189">
        <f t="shared" si="277"/>
        <v>2520</v>
      </c>
      <c r="H139" s="189">
        <f t="shared" si="278"/>
        <v>1387.88806971205</v>
      </c>
      <c r="I139" s="189">
        <v>63053</v>
      </c>
      <c r="J139" s="44">
        <f t="shared" si="265"/>
        <v>50442.4</v>
      </c>
      <c r="K139" s="44">
        <f t="shared" si="266"/>
        <v>0</v>
      </c>
      <c r="L139" s="44">
        <f t="shared" si="267"/>
        <v>0</v>
      </c>
      <c r="M139" s="44">
        <f t="shared" si="268"/>
        <v>0</v>
      </c>
      <c r="N139" s="44">
        <f t="shared" si="269"/>
        <v>50442.4</v>
      </c>
      <c r="O139" s="44">
        <f t="shared" si="270"/>
        <v>0</v>
      </c>
      <c r="P139" s="44">
        <v>7178</v>
      </c>
      <c r="Q139" s="44">
        <v>1481</v>
      </c>
      <c r="R139" s="44">
        <f t="shared" si="279"/>
        <v>888.6</v>
      </c>
      <c r="S139" s="44"/>
      <c r="T139" s="44">
        <f t="shared" si="287"/>
        <v>888.6</v>
      </c>
      <c r="U139" s="44"/>
      <c r="V139" s="44"/>
      <c r="W139" s="44">
        <f t="shared" si="280"/>
        <v>775.313528169784</v>
      </c>
      <c r="X139" s="76">
        <v>11981</v>
      </c>
      <c r="Y139" s="115">
        <f t="shared" si="281"/>
        <v>0.162913907284768</v>
      </c>
      <c r="Z139" s="44">
        <f t="shared" si="282"/>
        <v>405.223519333542</v>
      </c>
      <c r="AA139" s="44"/>
      <c r="AB139" s="44"/>
      <c r="AC139" s="44"/>
      <c r="AD139" s="76">
        <f t="shared" ref="AD139:AD145" si="290">J139</f>
        <v>50442.4</v>
      </c>
      <c r="AE139" s="44">
        <f t="shared" ref="AE139:AE145" si="291">H139-W139-Z139-AC139-AK139-AM139</f>
        <v>85.2720587192346</v>
      </c>
      <c r="AF139" s="44"/>
      <c r="AG139" s="44">
        <v>5</v>
      </c>
      <c r="AH139" s="44"/>
      <c r="AI139" s="44"/>
      <c r="AJ139" s="115">
        <f>VLOOKUP(B:B,'表6资金使用成效（12月30日）'!B:L,11,0)</f>
        <v>0.953011021474832</v>
      </c>
      <c r="AK139" s="44">
        <f t="shared" si="284"/>
        <v>61.3945381128776</v>
      </c>
      <c r="AL139" s="76">
        <v>91.35</v>
      </c>
      <c r="AM139" s="44">
        <f t="shared" si="285"/>
        <v>60.6844253766113</v>
      </c>
      <c r="AN139" s="67">
        <f t="shared" si="286"/>
        <v>1388</v>
      </c>
      <c r="AO139" s="67">
        <f t="shared" si="271"/>
        <v>-1132</v>
      </c>
      <c r="AP139" s="125">
        <f t="shared" si="288"/>
        <v>-0.449206349206349</v>
      </c>
      <c r="AQ139" s="44">
        <f t="shared" si="272"/>
        <v>0.111930287949917</v>
      </c>
      <c r="AR139" s="198">
        <f t="shared" si="289"/>
        <v>8.06479213940789e-5</v>
      </c>
      <c r="AZ139" s="5" t="s">
        <v>202</v>
      </c>
      <c r="BA139" s="5">
        <v>1169</v>
      </c>
    </row>
    <row r="140" ht="17" customHeight="1" spans="1:53">
      <c r="A140" s="31">
        <v>93</v>
      </c>
      <c r="B140" s="51" t="s">
        <v>183</v>
      </c>
      <c r="C140" s="31" t="s">
        <v>90</v>
      </c>
      <c r="D140" s="31">
        <v>2018</v>
      </c>
      <c r="E140" s="31" t="s">
        <v>91</v>
      </c>
      <c r="F140" s="31"/>
      <c r="G140" s="189">
        <f t="shared" si="277"/>
        <v>2955</v>
      </c>
      <c r="H140" s="189">
        <f t="shared" si="278"/>
        <v>1627.46398650759</v>
      </c>
      <c r="I140" s="189">
        <v>53447</v>
      </c>
      <c r="J140" s="44">
        <f t="shared" si="265"/>
        <v>32068.2</v>
      </c>
      <c r="K140" s="44">
        <f t="shared" si="266"/>
        <v>0</v>
      </c>
      <c r="L140" s="44">
        <f t="shared" si="267"/>
        <v>0</v>
      </c>
      <c r="M140" s="44">
        <f t="shared" si="268"/>
        <v>32068.2</v>
      </c>
      <c r="N140" s="44">
        <f t="shared" si="269"/>
        <v>0</v>
      </c>
      <c r="O140" s="44">
        <f t="shared" si="270"/>
        <v>0</v>
      </c>
      <c r="P140" s="44">
        <v>6279</v>
      </c>
      <c r="Q140" s="44">
        <v>1813</v>
      </c>
      <c r="R140" s="44">
        <f t="shared" si="279"/>
        <v>1087.8</v>
      </c>
      <c r="S140" s="44"/>
      <c r="T140" s="44">
        <f t="shared" si="287"/>
        <v>1087.8</v>
      </c>
      <c r="U140" s="44"/>
      <c r="V140" s="44"/>
      <c r="W140" s="44">
        <f t="shared" si="280"/>
        <v>532.144588930273</v>
      </c>
      <c r="X140" s="76">
        <v>10969</v>
      </c>
      <c r="Y140" s="115">
        <f t="shared" si="281"/>
        <v>0.354399243140965</v>
      </c>
      <c r="Z140" s="44">
        <f t="shared" si="282"/>
        <v>881.514113486325</v>
      </c>
      <c r="AA140" s="44"/>
      <c r="AB140" s="44"/>
      <c r="AC140" s="44"/>
      <c r="AD140" s="76">
        <f t="shared" si="290"/>
        <v>32068.2</v>
      </c>
      <c r="AE140" s="44">
        <f t="shared" si="291"/>
        <v>94.1259263911272</v>
      </c>
      <c r="AF140" s="44"/>
      <c r="AG140" s="44">
        <v>7</v>
      </c>
      <c r="AH140" s="44"/>
      <c r="AI140" s="44"/>
      <c r="AJ140" s="115">
        <f>VLOOKUP(B:B,'表6资金使用成效（12月30日）'!B:L,11,0)</f>
        <v>0.902872760378688</v>
      </c>
      <c r="AK140" s="44">
        <f t="shared" si="284"/>
        <v>58.1645488342469</v>
      </c>
      <c r="AL140" s="76">
        <v>92.6</v>
      </c>
      <c r="AM140" s="44">
        <f t="shared" si="285"/>
        <v>61.514808865618</v>
      </c>
      <c r="AN140" s="67">
        <f t="shared" si="286"/>
        <v>1627</v>
      </c>
      <c r="AO140" s="67">
        <f t="shared" si="271"/>
        <v>-1328</v>
      </c>
      <c r="AP140" s="125">
        <f t="shared" si="288"/>
        <v>-0.449407783417936</v>
      </c>
      <c r="AQ140" s="44">
        <f t="shared" si="272"/>
        <v>-0.463986507590107</v>
      </c>
      <c r="AR140" s="198">
        <f t="shared" si="289"/>
        <v>-0.000285097864798708</v>
      </c>
      <c r="AZ140" s="5" t="s">
        <v>203</v>
      </c>
      <c r="BA140" s="5">
        <v>1261</v>
      </c>
    </row>
    <row r="141" ht="17" customHeight="1" spans="1:53">
      <c r="A141" s="31">
        <v>94</v>
      </c>
      <c r="B141" s="51" t="s">
        <v>184</v>
      </c>
      <c r="C141" s="31" t="s">
        <v>90</v>
      </c>
      <c r="D141" s="31">
        <v>2017</v>
      </c>
      <c r="E141" s="31" t="s">
        <v>91</v>
      </c>
      <c r="F141" s="31"/>
      <c r="G141" s="189">
        <f t="shared" si="277"/>
        <v>699</v>
      </c>
      <c r="H141" s="189">
        <f t="shared" si="278"/>
        <v>384.973714574891</v>
      </c>
      <c r="I141" s="189">
        <v>28858</v>
      </c>
      <c r="J141" s="44">
        <f t="shared" si="265"/>
        <v>11543.2</v>
      </c>
      <c r="K141" s="44">
        <f t="shared" si="266"/>
        <v>0</v>
      </c>
      <c r="L141" s="44">
        <f t="shared" si="267"/>
        <v>11543.2</v>
      </c>
      <c r="M141" s="44">
        <f t="shared" si="268"/>
        <v>0</v>
      </c>
      <c r="N141" s="44">
        <f t="shared" si="269"/>
        <v>0</v>
      </c>
      <c r="O141" s="44">
        <f t="shared" si="270"/>
        <v>0</v>
      </c>
      <c r="P141" s="44">
        <v>2150</v>
      </c>
      <c r="Q141" s="44">
        <v>1314</v>
      </c>
      <c r="R141" s="44">
        <f t="shared" si="279"/>
        <v>788.4</v>
      </c>
      <c r="S141" s="44"/>
      <c r="T141" s="44">
        <f t="shared" si="287"/>
        <v>788.4</v>
      </c>
      <c r="U141" s="44"/>
      <c r="V141" s="44"/>
      <c r="W141" s="44">
        <f t="shared" si="280"/>
        <v>195.952611563438</v>
      </c>
      <c r="X141" s="76">
        <v>12092</v>
      </c>
      <c r="Y141" s="115">
        <f t="shared" si="281"/>
        <v>0.141911069063387</v>
      </c>
      <c r="Z141" s="44">
        <f t="shared" si="282"/>
        <v>352.982159698208</v>
      </c>
      <c r="AA141" s="44"/>
      <c r="AB141" s="44"/>
      <c r="AC141" s="44"/>
      <c r="AD141" s="76">
        <f t="shared" si="290"/>
        <v>11543.2</v>
      </c>
      <c r="AE141" s="44"/>
      <c r="AF141" s="44"/>
      <c r="AG141" s="44">
        <v>5</v>
      </c>
      <c r="AH141" s="44"/>
      <c r="AI141" s="44"/>
      <c r="AJ141" s="115">
        <f>VLOOKUP(B:B,'表6资金使用成效（12月30日）'!B:L,11,0)</f>
        <v>0.900678922080635</v>
      </c>
      <c r="AK141" s="44">
        <f t="shared" si="284"/>
        <v>58.0232181612869</v>
      </c>
      <c r="AL141" s="76">
        <v>90.88</v>
      </c>
      <c r="AM141" s="44">
        <f t="shared" si="285"/>
        <v>60.3722011847447</v>
      </c>
      <c r="AN141" s="67">
        <f t="shared" si="286"/>
        <v>667</v>
      </c>
      <c r="AO141" s="67">
        <f t="shared" si="271"/>
        <v>-32</v>
      </c>
      <c r="AP141" s="125">
        <f t="shared" si="288"/>
        <v>-0.0457796852646638</v>
      </c>
      <c r="AQ141" s="44">
        <f t="shared" si="272"/>
        <v>282.026285425109</v>
      </c>
      <c r="AR141" s="198">
        <f t="shared" si="289"/>
        <v>0.73258582273997</v>
      </c>
      <c r="AZ141" s="5" t="s">
        <v>204</v>
      </c>
      <c r="BA141" s="5">
        <v>7062</v>
      </c>
    </row>
    <row r="142" ht="17" customHeight="1" spans="1:53">
      <c r="A142" s="31">
        <v>95</v>
      </c>
      <c r="B142" s="51" t="s">
        <v>185</v>
      </c>
      <c r="C142" s="31" t="s">
        <v>90</v>
      </c>
      <c r="D142" s="31">
        <v>2018</v>
      </c>
      <c r="E142" s="31" t="s">
        <v>91</v>
      </c>
      <c r="F142" s="31"/>
      <c r="G142" s="189">
        <f t="shared" si="277"/>
        <v>1482</v>
      </c>
      <c r="H142" s="189">
        <f t="shared" si="278"/>
        <v>816.210364806851</v>
      </c>
      <c r="I142" s="189">
        <v>20309</v>
      </c>
      <c r="J142" s="44">
        <f t="shared" si="265"/>
        <v>12185.4</v>
      </c>
      <c r="K142" s="44">
        <f t="shared" si="266"/>
        <v>0</v>
      </c>
      <c r="L142" s="44">
        <f t="shared" si="267"/>
        <v>0</v>
      </c>
      <c r="M142" s="44">
        <f t="shared" si="268"/>
        <v>12185.4</v>
      </c>
      <c r="N142" s="44">
        <f t="shared" si="269"/>
        <v>0</v>
      </c>
      <c r="O142" s="44">
        <f t="shared" si="270"/>
        <v>0</v>
      </c>
      <c r="P142" s="44">
        <v>2277</v>
      </c>
      <c r="Q142" s="44">
        <v>1192</v>
      </c>
      <c r="R142" s="44">
        <f t="shared" si="279"/>
        <v>715.2</v>
      </c>
      <c r="S142" s="44"/>
      <c r="T142" s="44">
        <f t="shared" si="287"/>
        <v>715.2</v>
      </c>
      <c r="U142" s="44"/>
      <c r="V142" s="44"/>
      <c r="W142" s="44">
        <f t="shared" si="280"/>
        <v>205.104105839622</v>
      </c>
      <c r="X142" s="76">
        <v>12203</v>
      </c>
      <c r="Y142" s="115">
        <f t="shared" si="281"/>
        <v>0.120908230842006</v>
      </c>
      <c r="Z142" s="44">
        <f t="shared" si="282"/>
        <v>300.740800062874</v>
      </c>
      <c r="AA142" s="44"/>
      <c r="AB142" s="44"/>
      <c r="AC142" s="44"/>
      <c r="AD142" s="76">
        <f t="shared" si="290"/>
        <v>12185.4</v>
      </c>
      <c r="AE142" s="44">
        <f t="shared" si="291"/>
        <v>189.525952539162</v>
      </c>
      <c r="AF142" s="44"/>
      <c r="AG142" s="44">
        <v>6</v>
      </c>
      <c r="AH142" s="44"/>
      <c r="AI142" s="44"/>
      <c r="AJ142" s="115">
        <f>VLOOKUP(B:B,'表6资金使用成效（12月30日）'!B:L,11,0)</f>
        <v>0.900567080162619</v>
      </c>
      <c r="AK142" s="44">
        <f t="shared" si="284"/>
        <v>58.0160131209007</v>
      </c>
      <c r="AL142" s="76">
        <v>94.57</v>
      </c>
      <c r="AM142" s="44">
        <f t="shared" si="285"/>
        <v>62.8234932442926</v>
      </c>
      <c r="AN142" s="67">
        <f t="shared" si="286"/>
        <v>816</v>
      </c>
      <c r="AO142" s="67">
        <f t="shared" si="271"/>
        <v>-666</v>
      </c>
      <c r="AP142" s="125">
        <f t="shared" si="288"/>
        <v>-0.449392712550607</v>
      </c>
      <c r="AQ142" s="44">
        <f t="shared" si="272"/>
        <v>-0.210364806850976</v>
      </c>
      <c r="AR142" s="198">
        <f t="shared" si="289"/>
        <v>-0.000257733564680665</v>
      </c>
      <c r="AZ142" s="5" t="s">
        <v>205</v>
      </c>
      <c r="BA142" s="5">
        <v>0</v>
      </c>
    </row>
    <row r="143" ht="17" customHeight="1" spans="1:53">
      <c r="A143" s="31">
        <v>96</v>
      </c>
      <c r="B143" s="51" t="s">
        <v>186</v>
      </c>
      <c r="C143" s="31" t="s">
        <v>90</v>
      </c>
      <c r="D143" s="31">
        <v>2019</v>
      </c>
      <c r="E143" s="31" t="s">
        <v>91</v>
      </c>
      <c r="F143" s="31"/>
      <c r="G143" s="189">
        <f t="shared" si="277"/>
        <v>2272</v>
      </c>
      <c r="H143" s="189">
        <f t="shared" si="278"/>
        <v>1251.3022596769</v>
      </c>
      <c r="I143" s="189">
        <v>44723</v>
      </c>
      <c r="J143" s="44">
        <f t="shared" si="265"/>
        <v>35778.4</v>
      </c>
      <c r="K143" s="44">
        <f t="shared" si="266"/>
        <v>0</v>
      </c>
      <c r="L143" s="44">
        <f t="shared" si="267"/>
        <v>0</v>
      </c>
      <c r="M143" s="44">
        <f t="shared" si="268"/>
        <v>0</v>
      </c>
      <c r="N143" s="44">
        <f t="shared" si="269"/>
        <v>35778.4</v>
      </c>
      <c r="O143" s="44">
        <f t="shared" si="270"/>
        <v>0</v>
      </c>
      <c r="P143" s="44">
        <v>5597</v>
      </c>
      <c r="Q143" s="44">
        <v>4637</v>
      </c>
      <c r="R143" s="44">
        <f t="shared" si="279"/>
        <v>3709.6</v>
      </c>
      <c r="S143" s="44"/>
      <c r="T143" s="44"/>
      <c r="U143" s="44">
        <f>Q143*0.8</f>
        <v>3709.6</v>
      </c>
      <c r="V143" s="44"/>
      <c r="W143" s="44">
        <f t="shared" si="280"/>
        <v>608.544929250583</v>
      </c>
      <c r="X143" s="76">
        <v>11751</v>
      </c>
      <c r="Y143" s="115">
        <f t="shared" si="281"/>
        <v>0.20643330179754</v>
      </c>
      <c r="Z143" s="44">
        <f t="shared" si="282"/>
        <v>513.471381640993</v>
      </c>
      <c r="AA143" s="44"/>
      <c r="AB143" s="44"/>
      <c r="AC143" s="44"/>
      <c r="AD143" s="76">
        <f t="shared" si="290"/>
        <v>35778.4</v>
      </c>
      <c r="AE143" s="44">
        <f t="shared" si="291"/>
        <v>13.6850084758767</v>
      </c>
      <c r="AF143" s="44"/>
      <c r="AG143" s="44">
        <v>5</v>
      </c>
      <c r="AH143" s="44"/>
      <c r="AI143" s="44"/>
      <c r="AJ143" s="115">
        <f>VLOOKUP(B:B,'表6资金使用成效（12月30日）'!B:L,11,0)</f>
        <v>0.871015739905855</v>
      </c>
      <c r="AK143" s="44">
        <f t="shared" si="284"/>
        <v>56.1122671570053</v>
      </c>
      <c r="AL143" s="76">
        <v>89.55</v>
      </c>
      <c r="AM143" s="44">
        <f t="shared" si="285"/>
        <v>59.4886731524416</v>
      </c>
      <c r="AN143" s="67">
        <f t="shared" si="286"/>
        <v>1251</v>
      </c>
      <c r="AO143" s="67">
        <f t="shared" si="271"/>
        <v>-1021</v>
      </c>
      <c r="AP143" s="125">
        <f t="shared" si="288"/>
        <v>-0.449383802816901</v>
      </c>
      <c r="AQ143" s="44">
        <f t="shared" si="272"/>
        <v>-0.302259676899894</v>
      </c>
      <c r="AR143" s="198">
        <f t="shared" si="289"/>
        <v>-0.000241556086518968</v>
      </c>
      <c r="AZ143" s="5" t="s">
        <v>206</v>
      </c>
      <c r="BA143" s="5">
        <v>464</v>
      </c>
    </row>
    <row r="144" ht="17" customHeight="1" spans="1:53">
      <c r="A144" s="31">
        <v>97</v>
      </c>
      <c r="B144" s="51" t="s">
        <v>187</v>
      </c>
      <c r="C144" s="31" t="s">
        <v>90</v>
      </c>
      <c r="D144" s="31">
        <v>2017</v>
      </c>
      <c r="E144" s="31" t="s">
        <v>91</v>
      </c>
      <c r="F144" s="31"/>
      <c r="G144" s="189">
        <f t="shared" si="277"/>
        <v>414</v>
      </c>
      <c r="H144" s="189">
        <f t="shared" si="278"/>
        <v>228.010182881266</v>
      </c>
      <c r="I144" s="189">
        <v>28268</v>
      </c>
      <c r="J144" s="44">
        <f t="shared" si="265"/>
        <v>11307.2</v>
      </c>
      <c r="K144" s="44">
        <f t="shared" si="266"/>
        <v>0</v>
      </c>
      <c r="L144" s="44">
        <f t="shared" si="267"/>
        <v>11307.2</v>
      </c>
      <c r="M144" s="44">
        <f t="shared" si="268"/>
        <v>0</v>
      </c>
      <c r="N144" s="44">
        <f t="shared" si="269"/>
        <v>0</v>
      </c>
      <c r="O144" s="44">
        <f t="shared" si="270"/>
        <v>0</v>
      </c>
      <c r="P144" s="44">
        <v>1348</v>
      </c>
      <c r="Q144" s="44">
        <v>1475</v>
      </c>
      <c r="R144" s="44">
        <f t="shared" si="279"/>
        <v>885</v>
      </c>
      <c r="S144" s="44"/>
      <c r="T144" s="44">
        <f>Q144*0.6</f>
        <v>885</v>
      </c>
      <c r="U144" s="44"/>
      <c r="V144" s="44"/>
      <c r="W144" s="44">
        <f t="shared" si="280"/>
        <v>180.134649275444</v>
      </c>
      <c r="X144" s="76">
        <v>12733</v>
      </c>
      <c r="Y144" s="115">
        <f t="shared" si="281"/>
        <v>0.0206244087038789</v>
      </c>
      <c r="Z144" s="44">
        <f t="shared" si="282"/>
        <v>51.3000738761396</v>
      </c>
      <c r="AA144" s="44"/>
      <c r="AB144" s="44"/>
      <c r="AC144" s="44"/>
      <c r="AD144" s="76">
        <f t="shared" si="290"/>
        <v>11307.2</v>
      </c>
      <c r="AE144" s="44"/>
      <c r="AF144" s="44"/>
      <c r="AG144" s="44">
        <v>3</v>
      </c>
      <c r="AH144" s="44"/>
      <c r="AI144" s="44"/>
      <c r="AJ144" s="115">
        <f>VLOOKUP(B:B,'表6资金使用成效（12月30日）'!B:L,11,0)</f>
        <v>0.90348703888335</v>
      </c>
      <c r="AK144" s="44">
        <f t="shared" si="284"/>
        <v>58.2041216662672</v>
      </c>
      <c r="AL144" s="76">
        <v>93.15</v>
      </c>
      <c r="AM144" s="44">
        <f t="shared" si="285"/>
        <v>61.880177600781</v>
      </c>
      <c r="AN144" s="67">
        <f t="shared" si="286"/>
        <v>352</v>
      </c>
      <c r="AO144" s="67">
        <f t="shared" si="271"/>
        <v>-62</v>
      </c>
      <c r="AP144" s="125">
        <f t="shared" si="288"/>
        <v>-0.14975845410628</v>
      </c>
      <c r="AQ144" s="44">
        <f t="shared" si="272"/>
        <v>123.989817118734</v>
      </c>
      <c r="AR144" s="198">
        <f t="shared" si="289"/>
        <v>0.543790700713136</v>
      </c>
      <c r="AZ144" s="5" t="s">
        <v>207</v>
      </c>
      <c r="BA144" s="5">
        <v>307</v>
      </c>
    </row>
    <row r="145" ht="17" customHeight="1" spans="1:53">
      <c r="A145" s="31">
        <v>98</v>
      </c>
      <c r="B145" s="51" t="s">
        <v>188</v>
      </c>
      <c r="C145" s="31" t="s">
        <v>90</v>
      </c>
      <c r="D145" s="31">
        <v>2019</v>
      </c>
      <c r="E145" s="31" t="s">
        <v>91</v>
      </c>
      <c r="F145" s="31"/>
      <c r="G145" s="189">
        <f t="shared" si="277"/>
        <v>1837</v>
      </c>
      <c r="H145" s="189">
        <f t="shared" si="278"/>
        <v>1011.72634288137</v>
      </c>
      <c r="I145" s="189">
        <v>28841</v>
      </c>
      <c r="J145" s="44">
        <f t="shared" si="265"/>
        <v>23072.8</v>
      </c>
      <c r="K145" s="44">
        <f t="shared" si="266"/>
        <v>0</v>
      </c>
      <c r="L145" s="44">
        <f t="shared" si="267"/>
        <v>0</v>
      </c>
      <c r="M145" s="44">
        <f t="shared" si="268"/>
        <v>0</v>
      </c>
      <c r="N145" s="44">
        <f t="shared" si="269"/>
        <v>23072.8</v>
      </c>
      <c r="O145" s="44">
        <f t="shared" si="270"/>
        <v>0</v>
      </c>
      <c r="P145" s="44">
        <v>2449</v>
      </c>
      <c r="Q145" s="44">
        <v>1764</v>
      </c>
      <c r="R145" s="44">
        <f t="shared" si="279"/>
        <v>1058.4</v>
      </c>
      <c r="S145" s="44"/>
      <c r="T145" s="44">
        <f>Q145*0.6</f>
        <v>1058.4</v>
      </c>
      <c r="U145" s="44"/>
      <c r="V145" s="44"/>
      <c r="W145" s="44">
        <f t="shared" si="280"/>
        <v>350.126910143585</v>
      </c>
      <c r="X145" s="76">
        <v>10728</v>
      </c>
      <c r="Y145" s="115">
        <f t="shared" si="281"/>
        <v>0.4</v>
      </c>
      <c r="Z145" s="44">
        <f t="shared" si="282"/>
        <v>994.939047469349</v>
      </c>
      <c r="AA145" s="44"/>
      <c r="AB145" s="44"/>
      <c r="AC145" s="44"/>
      <c r="AD145" s="76">
        <f t="shared" si="290"/>
        <v>23072.8</v>
      </c>
      <c r="AE145" s="44"/>
      <c r="AF145" s="44"/>
      <c r="AG145" s="44">
        <v>3</v>
      </c>
      <c r="AH145" s="44"/>
      <c r="AI145" s="44"/>
      <c r="AJ145" s="115">
        <f>VLOOKUP(B:B,'表6资金使用成效（12月30日）'!B:L,11,0)</f>
        <v>0.952174667036626</v>
      </c>
      <c r="AK145" s="44">
        <f t="shared" si="284"/>
        <v>61.3406587838087</v>
      </c>
      <c r="AL145" s="76">
        <v>93.65</v>
      </c>
      <c r="AM145" s="44">
        <f t="shared" si="285"/>
        <v>62.2123309963837</v>
      </c>
      <c r="AN145" s="67">
        <f t="shared" si="286"/>
        <v>1469</v>
      </c>
      <c r="AO145" s="67">
        <f t="shared" si="271"/>
        <v>-368</v>
      </c>
      <c r="AP145" s="125">
        <f t="shared" si="288"/>
        <v>-0.200326619488296</v>
      </c>
      <c r="AQ145" s="44">
        <f t="shared" si="272"/>
        <v>457.27365711863</v>
      </c>
      <c r="AR145" s="198">
        <f t="shared" si="289"/>
        <v>0.451973659019619</v>
      </c>
      <c r="AZ145" s="5" t="s">
        <v>208</v>
      </c>
      <c r="BA145" s="5">
        <v>1546</v>
      </c>
    </row>
    <row r="146" ht="17" customHeight="1" spans="1:53">
      <c r="A146" s="31">
        <v>99</v>
      </c>
      <c r="B146" s="51" t="s">
        <v>189</v>
      </c>
      <c r="C146" s="31" t="s">
        <v>90</v>
      </c>
      <c r="D146" s="31">
        <v>2017</v>
      </c>
      <c r="E146" s="31"/>
      <c r="F146" s="31"/>
      <c r="G146" s="189">
        <f t="shared" si="277"/>
        <v>1039</v>
      </c>
      <c r="H146" s="189">
        <f t="shared" si="278"/>
        <v>572.228454139216</v>
      </c>
      <c r="I146" s="189">
        <v>29830</v>
      </c>
      <c r="J146" s="44">
        <f t="shared" si="265"/>
        <v>11932</v>
      </c>
      <c r="K146" s="44">
        <f t="shared" si="266"/>
        <v>0</v>
      </c>
      <c r="L146" s="44">
        <f t="shared" si="267"/>
        <v>11932</v>
      </c>
      <c r="M146" s="44">
        <f t="shared" si="268"/>
        <v>0</v>
      </c>
      <c r="N146" s="44">
        <f t="shared" si="269"/>
        <v>0</v>
      </c>
      <c r="O146" s="44">
        <f t="shared" si="270"/>
        <v>0</v>
      </c>
      <c r="P146" s="44">
        <v>2701</v>
      </c>
      <c r="Q146" s="44">
        <v>777</v>
      </c>
      <c r="R146" s="44">
        <f t="shared" si="279"/>
        <v>310.8</v>
      </c>
      <c r="S146" s="44">
        <f>Q146*0.4</f>
        <v>310.8</v>
      </c>
      <c r="T146" s="44"/>
      <c r="U146" s="44"/>
      <c r="V146" s="44"/>
      <c r="W146" s="44">
        <f t="shared" si="280"/>
        <v>203.045150774218</v>
      </c>
      <c r="X146" s="76">
        <v>12457</v>
      </c>
      <c r="Y146" s="115">
        <f t="shared" si="281"/>
        <v>0.0728476821192053</v>
      </c>
      <c r="Z146" s="44">
        <f t="shared" si="282"/>
        <v>181.19750864508</v>
      </c>
      <c r="AA146" s="44"/>
      <c r="AB146" s="44"/>
      <c r="AC146" s="44"/>
      <c r="AD146" s="76"/>
      <c r="AE146" s="44">
        <f>AD146/$AD$9*71500</f>
        <v>0</v>
      </c>
      <c r="AF146" s="44"/>
      <c r="AG146" s="44">
        <v>3</v>
      </c>
      <c r="AH146" s="44"/>
      <c r="AI146" s="44"/>
      <c r="AJ146" s="115">
        <f>VLOOKUP(B:B,'表6资金使用成效（12月30日）'!B:L,11,0)</f>
        <v>0.993844668956645</v>
      </c>
      <c r="AK146" s="44">
        <f t="shared" si="284"/>
        <v>64.0251088724165</v>
      </c>
      <c r="AL146" s="76">
        <v>93.93</v>
      </c>
      <c r="AM146" s="44">
        <f t="shared" si="285"/>
        <v>62.3983368979212</v>
      </c>
      <c r="AN146" s="67">
        <f t="shared" si="286"/>
        <v>511</v>
      </c>
      <c r="AO146" s="67">
        <f t="shared" si="271"/>
        <v>-528</v>
      </c>
      <c r="AP146" s="125">
        <f t="shared" si="288"/>
        <v>-0.508180943214629</v>
      </c>
      <c r="AQ146" s="44">
        <f t="shared" si="272"/>
        <v>-61.228454139216</v>
      </c>
      <c r="AR146" s="198">
        <f t="shared" si="289"/>
        <v>-0.107000016682707</v>
      </c>
      <c r="AZ146" s="5" t="s">
        <v>209</v>
      </c>
      <c r="BA146" s="5">
        <v>2330</v>
      </c>
    </row>
    <row r="147" s="6" customFormat="1" ht="17" customHeight="1" spans="1:75">
      <c r="A147" s="39"/>
      <c r="B147" s="40" t="s">
        <v>190</v>
      </c>
      <c r="C147" s="41">
        <v>1</v>
      </c>
      <c r="D147" s="41"/>
      <c r="E147" s="41"/>
      <c r="F147" s="41"/>
      <c r="G147" s="119">
        <f>G148+G149</f>
        <v>10058</v>
      </c>
      <c r="H147" s="119">
        <f>H148+H149</f>
        <v>5539.43579569994</v>
      </c>
      <c r="I147" s="119">
        <f t="shared" ref="I147:O147" si="292">I148+I149</f>
        <v>351335</v>
      </c>
      <c r="J147" s="43">
        <f t="shared" si="292"/>
        <v>225822.4</v>
      </c>
      <c r="K147" s="43">
        <f t="shared" si="292"/>
        <v>9329.8</v>
      </c>
      <c r="L147" s="43">
        <f t="shared" si="292"/>
        <v>0</v>
      </c>
      <c r="M147" s="43">
        <f t="shared" si="292"/>
        <v>81768.6</v>
      </c>
      <c r="N147" s="43">
        <f t="shared" si="292"/>
        <v>134724</v>
      </c>
      <c r="O147" s="43">
        <f t="shared" si="292"/>
        <v>0</v>
      </c>
      <c r="P147" s="43">
        <v>54818</v>
      </c>
      <c r="Q147" s="43">
        <f t="shared" ref="Q147:W147" si="293">Q148+Q149</f>
        <v>72169</v>
      </c>
      <c r="R147" s="43">
        <f t="shared" si="293"/>
        <v>71328.2</v>
      </c>
      <c r="S147" s="43">
        <f t="shared" si="293"/>
        <v>0</v>
      </c>
      <c r="T147" s="43">
        <f t="shared" si="293"/>
        <v>0</v>
      </c>
      <c r="U147" s="43">
        <f t="shared" si="293"/>
        <v>3363.2</v>
      </c>
      <c r="V147" s="43">
        <f t="shared" si="293"/>
        <v>67965</v>
      </c>
      <c r="W147" s="43">
        <f t="shared" si="293"/>
        <v>4961.99969811669</v>
      </c>
      <c r="X147" s="77"/>
      <c r="Y147" s="118">
        <f t="shared" ref="Y147:AI147" si="294">Y148+Y149</f>
        <v>0.151939451277199</v>
      </c>
      <c r="Z147" s="43">
        <f t="shared" si="294"/>
        <v>377.926232316881</v>
      </c>
      <c r="AA147" s="43">
        <v>11</v>
      </c>
      <c r="AB147" s="43">
        <f t="shared" si="294"/>
        <v>0</v>
      </c>
      <c r="AC147" s="43">
        <f t="shared" si="294"/>
        <v>0</v>
      </c>
      <c r="AD147" s="54">
        <f t="shared" si="294"/>
        <v>65484</v>
      </c>
      <c r="AE147" s="43">
        <f t="shared" si="294"/>
        <v>0</v>
      </c>
      <c r="AF147" s="119">
        <f t="shared" si="294"/>
        <v>0</v>
      </c>
      <c r="AG147" s="119">
        <f t="shared" si="294"/>
        <v>23</v>
      </c>
      <c r="AH147" s="119">
        <f t="shared" si="294"/>
        <v>0</v>
      </c>
      <c r="AI147" s="43">
        <f t="shared" si="294"/>
        <v>0</v>
      </c>
      <c r="AJ147" s="118"/>
      <c r="AK147" s="43">
        <f t="shared" ref="AK147:AO147" si="295">AK148+AK149</f>
        <v>305.530911344497</v>
      </c>
      <c r="AL147" s="54">
        <f t="shared" si="295"/>
        <v>463.94</v>
      </c>
      <c r="AM147" s="43">
        <f t="shared" si="295"/>
        <v>308.198492711823</v>
      </c>
      <c r="AN147" s="119">
        <f t="shared" si="295"/>
        <v>5954</v>
      </c>
      <c r="AO147" s="119">
        <f t="shared" si="295"/>
        <v>-4104</v>
      </c>
      <c r="AP147" s="125">
        <f t="shared" si="288"/>
        <v>-0.408033406243786</v>
      </c>
      <c r="AQ147" s="118">
        <f>AQ148+AQ149</f>
        <v>414.564204300062</v>
      </c>
      <c r="AR147" s="198">
        <f t="shared" si="289"/>
        <v>0.0748387055269913</v>
      </c>
      <c r="AS147" s="5"/>
      <c r="AT147" s="5"/>
      <c r="AU147" s="5"/>
      <c r="AV147" s="5"/>
      <c r="AW147" s="5"/>
      <c r="AX147" s="5"/>
      <c r="AY147" s="5"/>
      <c r="AZ147" s="5" t="s">
        <v>210</v>
      </c>
      <c r="BA147" s="5">
        <v>2415</v>
      </c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</row>
    <row r="148" ht="17" customHeight="1" spans="1:53">
      <c r="A148" s="29"/>
      <c r="B148" s="30" t="s">
        <v>191</v>
      </c>
      <c r="C148" s="31">
        <v>2</v>
      </c>
      <c r="D148" s="31"/>
      <c r="E148" s="31"/>
      <c r="F148" s="31"/>
      <c r="G148" s="189"/>
      <c r="H148" s="189"/>
      <c r="I148" s="189"/>
      <c r="J148" s="44">
        <f t="shared" ref="J148:J154" si="296">SUM(K148:O148)</f>
        <v>0</v>
      </c>
      <c r="K148" s="44">
        <f t="shared" ref="K148:K154" si="297">IF(D148="",I148*0.2,0)</f>
        <v>0</v>
      </c>
      <c r="L148" s="44">
        <f t="shared" ref="L148:L154" si="298">IF(D148=2017,I148*0.4,0)</f>
        <v>0</v>
      </c>
      <c r="M148" s="44">
        <f t="shared" ref="M148:M154" si="299">IF(D148=2018,I148*0.6,0)</f>
        <v>0</v>
      </c>
      <c r="N148" s="44">
        <f t="shared" ref="N148:N154" si="300">IF(D148=2019,I148*0.8,0)</f>
        <v>0</v>
      </c>
      <c r="O148" s="44">
        <f t="shared" ref="O148:O154" si="301">IF(D148=2020,I148*1,0)</f>
        <v>0</v>
      </c>
      <c r="P148" s="44"/>
      <c r="Q148" s="44"/>
      <c r="R148" s="44">
        <f>N148*0.4+O148*0.6+P148*0.8+Q148*1</f>
        <v>0</v>
      </c>
      <c r="S148" s="44">
        <f>Q148-T148-U148-V148</f>
        <v>0</v>
      </c>
      <c r="T148" s="44"/>
      <c r="U148" s="44"/>
      <c r="V148" s="44"/>
      <c r="W148" s="44"/>
      <c r="X148" s="76"/>
      <c r="Y148" s="115"/>
      <c r="Z148" s="44"/>
      <c r="AA148" s="44"/>
      <c r="AB148" s="44"/>
      <c r="AC148" s="44"/>
      <c r="AD148" s="76"/>
      <c r="AE148" s="44"/>
      <c r="AF148" s="44"/>
      <c r="AG148" s="44"/>
      <c r="AH148" s="44"/>
      <c r="AI148" s="44"/>
      <c r="AJ148" s="115"/>
      <c r="AK148" s="44">
        <f>AJ148/$AJ$9*0.05*200000</f>
        <v>0</v>
      </c>
      <c r="AL148" s="76"/>
      <c r="AM148" s="44">
        <f>(AL148/$AL$9)*0.05*200000</f>
        <v>0</v>
      </c>
      <c r="AN148" s="67">
        <f>ROUND(AM148+AK148+AE148+AC148+Z148+W148,0)</f>
        <v>0</v>
      </c>
      <c r="AO148" s="67">
        <f t="shared" ref="AO148:AO154" si="302">AN148-G148</f>
        <v>0</v>
      </c>
      <c r="AP148" s="125"/>
      <c r="AQ148" s="115">
        <f t="shared" ref="AQ148:AQ154" si="303">AN148-H148</f>
        <v>0</v>
      </c>
      <c r="AR148" s="198"/>
      <c r="AZ148" s="5" t="s">
        <v>211</v>
      </c>
      <c r="BA148" s="5">
        <v>40553</v>
      </c>
    </row>
    <row r="149" s="7" customFormat="1" ht="17" customHeight="1" spans="1:75">
      <c r="A149" s="45"/>
      <c r="B149" s="46" t="s">
        <v>76</v>
      </c>
      <c r="C149" s="47">
        <v>3</v>
      </c>
      <c r="D149" s="47"/>
      <c r="E149" s="47"/>
      <c r="F149" s="47"/>
      <c r="G149" s="121">
        <f>SUM(G150:G154)</f>
        <v>10058</v>
      </c>
      <c r="H149" s="121">
        <f>SUM(H150:H154)</f>
        <v>5539.43579569994</v>
      </c>
      <c r="I149" s="121">
        <f t="shared" ref="I149:O149" si="304">SUM(I150:I154)</f>
        <v>351335</v>
      </c>
      <c r="J149" s="49">
        <f t="shared" si="304"/>
        <v>225822.4</v>
      </c>
      <c r="K149" s="49">
        <f t="shared" si="304"/>
        <v>9329.8</v>
      </c>
      <c r="L149" s="49">
        <f t="shared" si="304"/>
        <v>0</v>
      </c>
      <c r="M149" s="49">
        <f t="shared" si="304"/>
        <v>81768.6</v>
      </c>
      <c r="N149" s="49">
        <f t="shared" si="304"/>
        <v>134724</v>
      </c>
      <c r="O149" s="49">
        <f t="shared" si="304"/>
        <v>0</v>
      </c>
      <c r="P149" s="49">
        <v>54818</v>
      </c>
      <c r="Q149" s="49">
        <f t="shared" ref="Q149:W149" si="305">SUM(Q150:Q154)</f>
        <v>72169</v>
      </c>
      <c r="R149" s="49">
        <f t="shared" si="305"/>
        <v>71328.2</v>
      </c>
      <c r="S149" s="49">
        <f t="shared" si="305"/>
        <v>0</v>
      </c>
      <c r="T149" s="49">
        <f t="shared" si="305"/>
        <v>0</v>
      </c>
      <c r="U149" s="49">
        <f t="shared" si="305"/>
        <v>3363.2</v>
      </c>
      <c r="V149" s="49">
        <f t="shared" si="305"/>
        <v>67965</v>
      </c>
      <c r="W149" s="49">
        <f t="shared" si="305"/>
        <v>4961.99969811669</v>
      </c>
      <c r="X149" s="78"/>
      <c r="Y149" s="120">
        <f t="shared" ref="Y149:AI149" si="306">SUM(Y150:Y154)</f>
        <v>0.151939451277199</v>
      </c>
      <c r="Z149" s="49">
        <f t="shared" si="306"/>
        <v>377.926232316881</v>
      </c>
      <c r="AA149" s="49">
        <v>11</v>
      </c>
      <c r="AB149" s="49">
        <f t="shared" si="306"/>
        <v>0</v>
      </c>
      <c r="AC149" s="49">
        <f t="shared" si="306"/>
        <v>0</v>
      </c>
      <c r="AD149" s="55">
        <f t="shared" si="306"/>
        <v>65484</v>
      </c>
      <c r="AE149" s="49">
        <f t="shared" si="306"/>
        <v>0</v>
      </c>
      <c r="AF149" s="121">
        <f t="shared" si="306"/>
        <v>0</v>
      </c>
      <c r="AG149" s="121">
        <f t="shared" si="306"/>
        <v>23</v>
      </c>
      <c r="AH149" s="121">
        <f t="shared" si="306"/>
        <v>0</v>
      </c>
      <c r="AI149" s="49">
        <f t="shared" si="306"/>
        <v>0</v>
      </c>
      <c r="AJ149" s="120"/>
      <c r="AK149" s="49">
        <f t="shared" ref="AK149:AO149" si="307">SUM(AK150:AK154)</f>
        <v>305.530911344497</v>
      </c>
      <c r="AL149" s="55">
        <f t="shared" si="307"/>
        <v>463.94</v>
      </c>
      <c r="AM149" s="49">
        <f t="shared" si="307"/>
        <v>308.198492711823</v>
      </c>
      <c r="AN149" s="121">
        <f t="shared" si="307"/>
        <v>5954</v>
      </c>
      <c r="AO149" s="121">
        <f t="shared" si="307"/>
        <v>-4104</v>
      </c>
      <c r="AP149" s="125">
        <f t="shared" si="288"/>
        <v>-0.408033406243786</v>
      </c>
      <c r="AQ149" s="120">
        <f>SUM(AQ150:AQ154)</f>
        <v>414.564204300062</v>
      </c>
      <c r="AR149" s="198">
        <f t="shared" si="289"/>
        <v>0.0748387055269913</v>
      </c>
      <c r="AS149" s="5"/>
      <c r="AT149" s="5"/>
      <c r="AU149" s="5"/>
      <c r="AV149" s="5"/>
      <c r="AW149" s="5"/>
      <c r="AX149" s="5"/>
      <c r="AY149" s="5"/>
      <c r="AZ149" s="5" t="s">
        <v>212</v>
      </c>
      <c r="BA149" s="5">
        <v>0</v>
      </c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</row>
    <row r="150" ht="17" customHeight="1" spans="1:53">
      <c r="A150" s="31">
        <v>100</v>
      </c>
      <c r="B150" s="51" t="s">
        <v>192</v>
      </c>
      <c r="C150" s="31" t="s">
        <v>90</v>
      </c>
      <c r="D150" s="31">
        <v>2019</v>
      </c>
      <c r="E150" s="31"/>
      <c r="F150" s="31"/>
      <c r="G150" s="189">
        <f>VLOOKUP(B:B,$AZ:$BA,2,0)</f>
        <v>1025</v>
      </c>
      <c r="H150" s="189">
        <f>G150*210000/381298.76</f>
        <v>564.517964863038</v>
      </c>
      <c r="I150" s="189">
        <v>86550</v>
      </c>
      <c r="J150" s="44">
        <f t="shared" si="296"/>
        <v>69240</v>
      </c>
      <c r="K150" s="44">
        <f t="shared" si="297"/>
        <v>0</v>
      </c>
      <c r="L150" s="44">
        <f t="shared" si="298"/>
        <v>0</v>
      </c>
      <c r="M150" s="44">
        <f t="shared" si="299"/>
        <v>0</v>
      </c>
      <c r="N150" s="44">
        <f t="shared" si="300"/>
        <v>69240</v>
      </c>
      <c r="O150" s="44">
        <f t="shared" si="301"/>
        <v>0</v>
      </c>
      <c r="P150" s="44">
        <v>17475</v>
      </c>
      <c r="Q150" s="44">
        <v>18864</v>
      </c>
      <c r="R150" s="44">
        <f t="shared" ref="R150:R154" si="308">S150+T150+U150+V150</f>
        <v>18864</v>
      </c>
      <c r="S150" s="44"/>
      <c r="T150" s="44"/>
      <c r="U150" s="44"/>
      <c r="V150" s="44">
        <f t="shared" ref="V150:V154" si="309">Q150*1</f>
        <v>18864</v>
      </c>
      <c r="W150" s="44">
        <f t="shared" ref="W150:W154" si="310">(J150/$J$9*0.2+P150/$P$9*0.05+R150/$R$9*0.05)*299423</f>
        <v>1485.04776821301</v>
      </c>
      <c r="X150" s="76">
        <v>14854</v>
      </c>
      <c r="Y150" s="115">
        <f t="shared" ref="Y150:Y154" si="311">IF(X150&lt;12842,(12842-X150)/(12842-$X$175),0)</f>
        <v>0</v>
      </c>
      <c r="Z150" s="44">
        <f t="shared" ref="Z150:Z154" si="312">(Y150/$Y$9*0.15)*299423</f>
        <v>0</v>
      </c>
      <c r="AA150" s="44"/>
      <c r="AB150" s="44"/>
      <c r="AC150" s="44"/>
      <c r="AD150" s="76"/>
      <c r="AE150" s="44">
        <f t="shared" ref="AE150:AE154" si="313">AD150/$AD$9*71500</f>
        <v>0</v>
      </c>
      <c r="AF150" s="44"/>
      <c r="AG150" s="44">
        <v>10</v>
      </c>
      <c r="AH150" s="44"/>
      <c r="AI150" s="44"/>
      <c r="AJ150" s="115">
        <f>VLOOKUP(B:B,'表6资金使用成效（12月30日）'!B:L,11,0)</f>
        <v>0.941455651234831</v>
      </c>
      <c r="AK150" s="44">
        <f t="shared" ref="AK150:AK154" si="314">AJ150/$AJ$9*0.025*299423</f>
        <v>60.6501221485058</v>
      </c>
      <c r="AL150" s="76">
        <v>87.85</v>
      </c>
      <c r="AM150" s="44">
        <f t="shared" ref="AM150:AM154" si="315">(AL150/$AL$9)*0.025*299423</f>
        <v>58.3593516073925</v>
      </c>
      <c r="AN150" s="67">
        <f t="shared" ref="AN150:AN154" si="316">ROUND(AM150+AK150+AE150+AC150+Z150+W150+AI150+AF150,0)</f>
        <v>1604</v>
      </c>
      <c r="AO150" s="67">
        <f t="shared" si="302"/>
        <v>579</v>
      </c>
      <c r="AP150" s="125">
        <f t="shared" si="288"/>
        <v>0.564878048780488</v>
      </c>
      <c r="AQ150" s="44">
        <f t="shared" si="303"/>
        <v>1039.48203513696</v>
      </c>
      <c r="AR150" s="198">
        <f t="shared" si="289"/>
        <v>1.84136218833914</v>
      </c>
      <c r="AZ150" s="5" t="s">
        <v>213</v>
      </c>
      <c r="BA150" s="5">
        <v>17822</v>
      </c>
    </row>
    <row r="151" ht="17" customHeight="1" spans="1:53">
      <c r="A151" s="31">
        <v>101</v>
      </c>
      <c r="B151" s="51" t="s">
        <v>193</v>
      </c>
      <c r="C151" s="31" t="s">
        <v>90</v>
      </c>
      <c r="D151" s="31">
        <v>2019</v>
      </c>
      <c r="E151" s="31" t="s">
        <v>91</v>
      </c>
      <c r="F151" s="31"/>
      <c r="G151" s="189">
        <f>VLOOKUP(B:B,$AZ:$BA,2,0)</f>
        <v>2787</v>
      </c>
      <c r="H151" s="189">
        <f>G151*210000/381298.76</f>
        <v>1534.93811519345</v>
      </c>
      <c r="I151" s="189">
        <v>81855</v>
      </c>
      <c r="J151" s="44">
        <f t="shared" si="296"/>
        <v>65484</v>
      </c>
      <c r="K151" s="44">
        <f t="shared" si="297"/>
        <v>0</v>
      </c>
      <c r="L151" s="44">
        <f t="shared" si="298"/>
        <v>0</v>
      </c>
      <c r="M151" s="44">
        <f t="shared" si="299"/>
        <v>0</v>
      </c>
      <c r="N151" s="44">
        <f t="shared" si="300"/>
        <v>65484</v>
      </c>
      <c r="O151" s="44">
        <f t="shared" si="301"/>
        <v>0</v>
      </c>
      <c r="P151" s="44">
        <v>9258</v>
      </c>
      <c r="Q151" s="44">
        <v>21939</v>
      </c>
      <c r="R151" s="44">
        <f t="shared" si="308"/>
        <v>21939</v>
      </c>
      <c r="S151" s="44"/>
      <c r="T151" s="44"/>
      <c r="U151" s="44"/>
      <c r="V151" s="44">
        <f t="shared" si="309"/>
        <v>21939</v>
      </c>
      <c r="W151" s="44">
        <f t="shared" si="310"/>
        <v>1339.76037972573</v>
      </c>
      <c r="X151" s="76">
        <v>12255</v>
      </c>
      <c r="Y151" s="115">
        <f t="shared" si="311"/>
        <v>0.111069063386944</v>
      </c>
      <c r="Z151" s="44">
        <f t="shared" si="312"/>
        <v>276.267370323797</v>
      </c>
      <c r="AA151" s="44"/>
      <c r="AB151" s="44"/>
      <c r="AC151" s="44"/>
      <c r="AD151" s="76">
        <f>J151</f>
        <v>65484</v>
      </c>
      <c r="AE151" s="44"/>
      <c r="AF151" s="44"/>
      <c r="AG151" s="44">
        <v>6</v>
      </c>
      <c r="AH151" s="44"/>
      <c r="AI151" s="44"/>
      <c r="AJ151" s="115">
        <f>VLOOKUP(B:B,'表6资金使用成效（12月30日）'!B:L,11,0)</f>
        <v>0.944352439105724</v>
      </c>
      <c r="AK151" s="44">
        <f t="shared" si="314"/>
        <v>60.8367379895999</v>
      </c>
      <c r="AL151" s="76">
        <v>91.68</v>
      </c>
      <c r="AM151" s="44">
        <f t="shared" si="315"/>
        <v>60.9036466177091</v>
      </c>
      <c r="AN151" s="67">
        <f t="shared" si="316"/>
        <v>1738</v>
      </c>
      <c r="AO151" s="67">
        <f t="shared" si="302"/>
        <v>-1049</v>
      </c>
      <c r="AP151" s="125">
        <f t="shared" si="288"/>
        <v>-0.376390383925368</v>
      </c>
      <c r="AQ151" s="44">
        <f t="shared" si="303"/>
        <v>203.06188480655</v>
      </c>
      <c r="AR151" s="198">
        <f t="shared" si="289"/>
        <v>0.132293206349207</v>
      </c>
      <c r="AZ151" s="5" t="s">
        <v>214</v>
      </c>
      <c r="BA151" s="5">
        <v>10143</v>
      </c>
    </row>
    <row r="152" ht="17" customHeight="1" spans="1:53">
      <c r="A152" s="31">
        <v>102</v>
      </c>
      <c r="B152" s="51" t="s">
        <v>194</v>
      </c>
      <c r="C152" s="31" t="s">
        <v>78</v>
      </c>
      <c r="D152" s="31"/>
      <c r="E152" s="31"/>
      <c r="F152" s="31" t="s">
        <v>146</v>
      </c>
      <c r="G152" s="189">
        <f>VLOOKUP(B:B,$AZ:$BA,2,0)</f>
        <v>2102</v>
      </c>
      <c r="H152" s="189">
        <f>G152*210000/381298.76</f>
        <v>1157.67488989474</v>
      </c>
      <c r="I152" s="189">
        <v>46649</v>
      </c>
      <c r="J152" s="44">
        <f t="shared" si="296"/>
        <v>9329.8</v>
      </c>
      <c r="K152" s="44">
        <f t="shared" si="297"/>
        <v>9329.8</v>
      </c>
      <c r="L152" s="44">
        <f t="shared" si="298"/>
        <v>0</v>
      </c>
      <c r="M152" s="44">
        <f t="shared" si="299"/>
        <v>0</v>
      </c>
      <c r="N152" s="44">
        <f t="shared" si="300"/>
        <v>0</v>
      </c>
      <c r="O152" s="44">
        <f t="shared" si="301"/>
        <v>0</v>
      </c>
      <c r="P152" s="44">
        <v>9865</v>
      </c>
      <c r="Q152" s="44">
        <v>4204</v>
      </c>
      <c r="R152" s="44">
        <f t="shared" si="308"/>
        <v>3363.2</v>
      </c>
      <c r="S152" s="44"/>
      <c r="T152" s="44"/>
      <c r="U152" s="44">
        <f>Q152*0.8</f>
        <v>3363.2</v>
      </c>
      <c r="V152" s="44"/>
      <c r="W152" s="44">
        <f t="shared" si="310"/>
        <v>348.303814875404</v>
      </c>
      <c r="X152" s="76">
        <v>13463</v>
      </c>
      <c r="Y152" s="115">
        <f t="shared" si="311"/>
        <v>0</v>
      </c>
      <c r="Z152" s="44">
        <f t="shared" si="312"/>
        <v>0</v>
      </c>
      <c r="AA152" s="44">
        <v>6</v>
      </c>
      <c r="AB152" s="44"/>
      <c r="AC152" s="44"/>
      <c r="AD152" s="76"/>
      <c r="AE152" s="44">
        <f t="shared" si="313"/>
        <v>0</v>
      </c>
      <c r="AF152" s="44"/>
      <c r="AG152" s="44"/>
      <c r="AH152" s="44">
        <f>AG152/$AG$13*9347</f>
        <v>0</v>
      </c>
      <c r="AI152" s="44"/>
      <c r="AJ152" s="115">
        <f>VLOOKUP(B:B,'表6资金使用成效（12月30日）'!B:L,11,0)</f>
        <v>0.945762846709758</v>
      </c>
      <c r="AK152" s="44">
        <f t="shared" si="314"/>
        <v>60.9275987681736</v>
      </c>
      <c r="AL152" s="76">
        <v>95.98</v>
      </c>
      <c r="AM152" s="44">
        <f t="shared" si="315"/>
        <v>63.7601658198922</v>
      </c>
      <c r="AN152" s="67">
        <f t="shared" si="316"/>
        <v>473</v>
      </c>
      <c r="AO152" s="67">
        <f t="shared" si="302"/>
        <v>-1629</v>
      </c>
      <c r="AP152" s="125">
        <f t="shared" si="288"/>
        <v>-0.774976213130352</v>
      </c>
      <c r="AQ152" s="44">
        <f t="shared" si="303"/>
        <v>-684.67488989474</v>
      </c>
      <c r="AR152" s="198">
        <f t="shared" si="289"/>
        <v>-0.591422424267139</v>
      </c>
      <c r="AZ152" s="5" t="s">
        <v>215</v>
      </c>
      <c r="BA152" s="5">
        <v>6688</v>
      </c>
    </row>
    <row r="153" ht="17" customHeight="1" spans="1:53">
      <c r="A153" s="31">
        <v>103</v>
      </c>
      <c r="B153" s="51" t="s">
        <v>196</v>
      </c>
      <c r="C153" s="31" t="s">
        <v>90</v>
      </c>
      <c r="D153" s="31">
        <v>2018</v>
      </c>
      <c r="E153" s="31"/>
      <c r="F153" s="31"/>
      <c r="G153" s="189">
        <f>VLOOKUP(B:B,$AZ:$BA,2,0)</f>
        <v>2272</v>
      </c>
      <c r="H153" s="189">
        <f>G153*210000/381298.76</f>
        <v>1251.3022596769</v>
      </c>
      <c r="I153" s="189">
        <v>80286</v>
      </c>
      <c r="J153" s="44">
        <f t="shared" si="296"/>
        <v>48171.6</v>
      </c>
      <c r="K153" s="44">
        <f t="shared" si="297"/>
        <v>0</v>
      </c>
      <c r="L153" s="44">
        <f t="shared" si="298"/>
        <v>0</v>
      </c>
      <c r="M153" s="44">
        <f t="shared" si="299"/>
        <v>48171.6</v>
      </c>
      <c r="N153" s="44">
        <f t="shared" si="300"/>
        <v>0</v>
      </c>
      <c r="O153" s="44">
        <f t="shared" si="301"/>
        <v>0</v>
      </c>
      <c r="P153" s="44">
        <v>8527</v>
      </c>
      <c r="Q153" s="44">
        <v>13532</v>
      </c>
      <c r="R153" s="44">
        <f t="shared" si="308"/>
        <v>13532</v>
      </c>
      <c r="S153" s="44"/>
      <c r="T153" s="44"/>
      <c r="U153" s="44"/>
      <c r="V153" s="44">
        <f t="shared" si="309"/>
        <v>13532</v>
      </c>
      <c r="W153" s="44">
        <f t="shared" si="310"/>
        <v>974.481364752949</v>
      </c>
      <c r="X153" s="76">
        <v>12992</v>
      </c>
      <c r="Y153" s="115">
        <f t="shared" si="311"/>
        <v>0</v>
      </c>
      <c r="Z153" s="44">
        <f t="shared" si="312"/>
        <v>0</v>
      </c>
      <c r="AA153" s="44"/>
      <c r="AB153" s="44"/>
      <c r="AC153" s="44"/>
      <c r="AD153" s="76"/>
      <c r="AE153" s="44">
        <f t="shared" si="313"/>
        <v>0</v>
      </c>
      <c r="AF153" s="44"/>
      <c r="AG153" s="44">
        <v>7</v>
      </c>
      <c r="AH153" s="44"/>
      <c r="AI153" s="44"/>
      <c r="AJ153" s="115">
        <f>VLOOKUP(B:B,'表6资金使用成效（12月30日）'!B:L,11,0)</f>
        <v>0.945766183269407</v>
      </c>
      <c r="AK153" s="44">
        <f t="shared" si="314"/>
        <v>60.9278137148362</v>
      </c>
      <c r="AL153" s="76">
        <v>94.31</v>
      </c>
      <c r="AM153" s="44">
        <f t="shared" si="315"/>
        <v>62.6507734785792</v>
      </c>
      <c r="AN153" s="67">
        <f t="shared" si="316"/>
        <v>1098</v>
      </c>
      <c r="AO153" s="67">
        <f t="shared" si="302"/>
        <v>-1174</v>
      </c>
      <c r="AP153" s="125">
        <f t="shared" si="288"/>
        <v>-0.516725352112676</v>
      </c>
      <c r="AQ153" s="44">
        <f t="shared" si="303"/>
        <v>-153.3022596769</v>
      </c>
      <c r="AR153" s="198">
        <f t="shared" si="289"/>
        <v>-0.122514171529175</v>
      </c>
      <c r="AZ153" s="5" t="s">
        <v>216</v>
      </c>
      <c r="BA153" s="5">
        <v>5900</v>
      </c>
    </row>
    <row r="154" ht="17" customHeight="1" spans="1:53">
      <c r="A154" s="31">
        <v>104</v>
      </c>
      <c r="B154" s="51" t="s">
        <v>195</v>
      </c>
      <c r="C154" s="31" t="s">
        <v>90</v>
      </c>
      <c r="D154" s="31">
        <v>2018</v>
      </c>
      <c r="E154" s="31"/>
      <c r="F154" s="31" t="s">
        <v>146</v>
      </c>
      <c r="G154" s="189">
        <f>VLOOKUP(B:B,$AZ:$BA,2,0)</f>
        <v>1872</v>
      </c>
      <c r="H154" s="189">
        <f>G154*210000/381298.76</f>
        <v>1031.00256607181</v>
      </c>
      <c r="I154" s="189">
        <v>55995</v>
      </c>
      <c r="J154" s="44">
        <f t="shared" si="296"/>
        <v>33597</v>
      </c>
      <c r="K154" s="44">
        <f t="shared" si="297"/>
        <v>0</v>
      </c>
      <c r="L154" s="44">
        <f t="shared" si="298"/>
        <v>0</v>
      </c>
      <c r="M154" s="44">
        <f t="shared" si="299"/>
        <v>33597</v>
      </c>
      <c r="N154" s="44">
        <f t="shared" si="300"/>
        <v>0</v>
      </c>
      <c r="O154" s="44">
        <f t="shared" si="301"/>
        <v>0</v>
      </c>
      <c r="P154" s="44">
        <v>9693</v>
      </c>
      <c r="Q154" s="44">
        <v>13630</v>
      </c>
      <c r="R154" s="44">
        <f t="shared" si="308"/>
        <v>13630</v>
      </c>
      <c r="S154" s="44"/>
      <c r="T154" s="44"/>
      <c r="U154" s="44"/>
      <c r="V154" s="44">
        <f t="shared" si="309"/>
        <v>13630</v>
      </c>
      <c r="W154" s="44">
        <f t="shared" si="310"/>
        <v>814.406370549594</v>
      </c>
      <c r="X154" s="76">
        <v>12626</v>
      </c>
      <c r="Y154" s="115">
        <f t="shared" si="311"/>
        <v>0.0408703878902554</v>
      </c>
      <c r="Z154" s="44">
        <f t="shared" si="312"/>
        <v>101.658861993084</v>
      </c>
      <c r="AA154" s="44">
        <v>5</v>
      </c>
      <c r="AB154" s="44"/>
      <c r="AC154" s="44"/>
      <c r="AD154" s="76"/>
      <c r="AE154" s="44">
        <f t="shared" si="313"/>
        <v>0</v>
      </c>
      <c r="AF154" s="44"/>
      <c r="AG154" s="44"/>
      <c r="AH154" s="44"/>
      <c r="AI154" s="44"/>
      <c r="AJ154" s="115">
        <f>VLOOKUP(B:B,'表6资金使用成效（12月30日）'!B:L,11,0)</f>
        <v>0.965337633209885</v>
      </c>
      <c r="AK154" s="44">
        <f t="shared" si="314"/>
        <v>62.1886387233817</v>
      </c>
      <c r="AL154" s="76">
        <v>94.12</v>
      </c>
      <c r="AM154" s="44">
        <f t="shared" si="315"/>
        <v>62.5245551882502</v>
      </c>
      <c r="AN154" s="67">
        <f t="shared" si="316"/>
        <v>1041</v>
      </c>
      <c r="AO154" s="67">
        <f t="shared" si="302"/>
        <v>-831</v>
      </c>
      <c r="AP154" s="125">
        <f t="shared" si="288"/>
        <v>-0.443910256410256</v>
      </c>
      <c r="AQ154" s="44">
        <f t="shared" si="303"/>
        <v>9.99743392819005</v>
      </c>
      <c r="AR154" s="198">
        <f t="shared" si="289"/>
        <v>0.00969680799756004</v>
      </c>
      <c r="AZ154" s="5" t="s">
        <v>217</v>
      </c>
      <c r="BA154" s="5">
        <v>23825</v>
      </c>
    </row>
    <row r="155" s="6" customFormat="1" ht="17" customHeight="1" spans="1:75">
      <c r="A155" s="39"/>
      <c r="B155" s="40" t="s">
        <v>197</v>
      </c>
      <c r="C155" s="41">
        <v>1</v>
      </c>
      <c r="D155" s="41"/>
      <c r="E155" s="41"/>
      <c r="F155" s="41"/>
      <c r="G155" s="119">
        <f>G156+G157</f>
        <v>7555</v>
      </c>
      <c r="H155" s="119">
        <f>H156+H157</f>
        <v>4160.9104629661</v>
      </c>
      <c r="I155" s="119">
        <f t="shared" ref="I155:O155" si="317">I156+I157</f>
        <v>129655</v>
      </c>
      <c r="J155" s="43">
        <f t="shared" si="317"/>
        <v>73984.6</v>
      </c>
      <c r="K155" s="43">
        <f t="shared" si="317"/>
        <v>2713.6</v>
      </c>
      <c r="L155" s="43">
        <f t="shared" si="317"/>
        <v>8220</v>
      </c>
      <c r="M155" s="43">
        <f t="shared" si="317"/>
        <v>40135.8</v>
      </c>
      <c r="N155" s="43">
        <f t="shared" si="317"/>
        <v>22915.2</v>
      </c>
      <c r="O155" s="43">
        <f t="shared" si="317"/>
        <v>0</v>
      </c>
      <c r="P155" s="43">
        <v>19292</v>
      </c>
      <c r="Q155" s="43">
        <f t="shared" ref="Q155:W155" si="318">Q156+Q157</f>
        <v>17938</v>
      </c>
      <c r="R155" s="43">
        <f t="shared" si="318"/>
        <v>14139.6</v>
      </c>
      <c r="S155" s="43">
        <f t="shared" si="318"/>
        <v>210.8</v>
      </c>
      <c r="T155" s="43">
        <f t="shared" si="318"/>
        <v>0</v>
      </c>
      <c r="U155" s="43">
        <f t="shared" si="318"/>
        <v>13928.8</v>
      </c>
      <c r="V155" s="43">
        <f t="shared" si="318"/>
        <v>0</v>
      </c>
      <c r="W155" s="43">
        <f t="shared" si="318"/>
        <v>1501.15886803732</v>
      </c>
      <c r="X155" s="77"/>
      <c r="Y155" s="118">
        <f t="shared" ref="Y155:AI155" si="319">Y156+Y157</f>
        <v>0.764049195837275</v>
      </c>
      <c r="Z155" s="43">
        <f t="shared" si="319"/>
        <v>1900.45594781515</v>
      </c>
      <c r="AA155" s="43">
        <v>57</v>
      </c>
      <c r="AB155" s="43">
        <f t="shared" si="319"/>
        <v>41583.0588235294</v>
      </c>
      <c r="AC155" s="43">
        <f t="shared" si="319"/>
        <v>41583.0588235294</v>
      </c>
      <c r="AD155" s="54">
        <f t="shared" si="319"/>
        <v>63051</v>
      </c>
      <c r="AE155" s="43">
        <f t="shared" si="319"/>
        <v>0</v>
      </c>
      <c r="AF155" s="119">
        <f t="shared" si="319"/>
        <v>0</v>
      </c>
      <c r="AG155" s="119">
        <f t="shared" si="319"/>
        <v>4</v>
      </c>
      <c r="AH155" s="119">
        <f t="shared" si="319"/>
        <v>0</v>
      </c>
      <c r="AI155" s="43">
        <f t="shared" si="319"/>
        <v>2000</v>
      </c>
      <c r="AJ155" s="118"/>
      <c r="AK155" s="43">
        <f t="shared" ref="AK155:AO155" si="320">AK156+AK157</f>
        <v>298.841897940303</v>
      </c>
      <c r="AL155" s="54">
        <f t="shared" si="320"/>
        <v>455.64</v>
      </c>
      <c r="AM155" s="43">
        <f t="shared" si="320"/>
        <v>302.684746344818</v>
      </c>
      <c r="AN155" s="119">
        <f t="shared" si="320"/>
        <v>47586</v>
      </c>
      <c r="AO155" s="119">
        <f t="shared" si="320"/>
        <v>40031</v>
      </c>
      <c r="AP155" s="125">
        <f t="shared" si="288"/>
        <v>5.29861019192588</v>
      </c>
      <c r="AQ155" s="118">
        <f>AQ156+AQ157</f>
        <v>43425.0895370339</v>
      </c>
      <c r="AR155" s="198">
        <f t="shared" si="289"/>
        <v>10.4364393138319</v>
      </c>
      <c r="AS155" s="5"/>
      <c r="AT155" s="5"/>
      <c r="AU155" s="5"/>
      <c r="AV155" s="5"/>
      <c r="AW155" s="5"/>
      <c r="AX155" s="5"/>
      <c r="AY155" s="5"/>
      <c r="AZ155" s="5" t="s">
        <v>218</v>
      </c>
      <c r="BA155" s="5">
        <v>0</v>
      </c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</row>
    <row r="156" ht="17" customHeight="1" spans="1:53">
      <c r="A156" s="29"/>
      <c r="B156" s="30" t="s">
        <v>198</v>
      </c>
      <c r="C156" s="31">
        <v>2</v>
      </c>
      <c r="D156" s="31"/>
      <c r="E156" s="31"/>
      <c r="F156" s="31"/>
      <c r="G156" s="189"/>
      <c r="H156" s="189"/>
      <c r="I156" s="189"/>
      <c r="J156" s="44">
        <f t="shared" ref="J156:J162" si="321">SUM(K156:O156)</f>
        <v>0</v>
      </c>
      <c r="K156" s="44">
        <f t="shared" ref="K156:K162" si="322">IF(D156="",I156*0.2,0)</f>
        <v>0</v>
      </c>
      <c r="L156" s="44">
        <f t="shared" ref="L156:L162" si="323">IF(D156=2017,I156*0.4,0)</f>
        <v>0</v>
      </c>
      <c r="M156" s="44">
        <f t="shared" ref="M156:M162" si="324">IF(D156=2018,I156*0.6,0)</f>
        <v>0</v>
      </c>
      <c r="N156" s="44">
        <f t="shared" ref="N156:N162" si="325">IF(D156=2019,I156*0.8,0)</f>
        <v>0</v>
      </c>
      <c r="O156" s="44">
        <f t="shared" ref="O156:O162" si="326">IF(D156=2020,I156*1,0)</f>
        <v>0</v>
      </c>
      <c r="P156" s="44"/>
      <c r="Q156" s="44"/>
      <c r="R156" s="44">
        <f>N156*0.4+O156*0.6+P156*0.8+Q156*1</f>
        <v>0</v>
      </c>
      <c r="S156" s="44">
        <f>Q156-T156-U156-V156</f>
        <v>0</v>
      </c>
      <c r="T156" s="44"/>
      <c r="U156" s="44"/>
      <c r="V156" s="44"/>
      <c r="W156" s="44"/>
      <c r="X156" s="76"/>
      <c r="Y156" s="115"/>
      <c r="Z156" s="44"/>
      <c r="AA156" s="44"/>
      <c r="AB156" s="44"/>
      <c r="AC156" s="44"/>
      <c r="AD156" s="76"/>
      <c r="AE156" s="44"/>
      <c r="AF156" s="44"/>
      <c r="AG156" s="44"/>
      <c r="AH156" s="44"/>
      <c r="AI156" s="44"/>
      <c r="AJ156" s="115"/>
      <c r="AK156" s="44">
        <f>AJ156/$AJ$9*0.05*200000</f>
        <v>0</v>
      </c>
      <c r="AL156" s="76"/>
      <c r="AM156" s="44">
        <f>(AL156/$AL$9)*0.05*200000</f>
        <v>0</v>
      </c>
      <c r="AN156" s="67">
        <f>ROUND(AM156+AK156+AE156+AC156+Z156+W156,0)</f>
        <v>0</v>
      </c>
      <c r="AO156" s="67">
        <f t="shared" ref="AO156:AO162" si="327">AN156-G156</f>
        <v>0</v>
      </c>
      <c r="AP156" s="125"/>
      <c r="AQ156" s="115">
        <f t="shared" ref="AQ156:AQ162" si="328">AN156-H156</f>
        <v>0</v>
      </c>
      <c r="AR156" s="198"/>
      <c r="AZ156" s="5" t="s">
        <v>219</v>
      </c>
      <c r="BA156" s="5">
        <v>9697</v>
      </c>
    </row>
    <row r="157" s="7" customFormat="1" ht="17" customHeight="1" spans="1:75">
      <c r="A157" s="45"/>
      <c r="B157" s="46" t="s">
        <v>76</v>
      </c>
      <c r="C157" s="47">
        <v>3</v>
      </c>
      <c r="D157" s="47"/>
      <c r="E157" s="47"/>
      <c r="F157" s="47"/>
      <c r="G157" s="121">
        <f>SUM(G158:G162)</f>
        <v>7555</v>
      </c>
      <c r="H157" s="121">
        <f>SUM(H158:H162)</f>
        <v>4160.9104629661</v>
      </c>
      <c r="I157" s="121">
        <f t="shared" ref="I157:O157" si="329">SUM(I158:I162)</f>
        <v>129655</v>
      </c>
      <c r="J157" s="49">
        <f t="shared" si="329"/>
        <v>73984.6</v>
      </c>
      <c r="K157" s="49">
        <f t="shared" si="329"/>
        <v>2713.6</v>
      </c>
      <c r="L157" s="49">
        <f t="shared" si="329"/>
        <v>8220</v>
      </c>
      <c r="M157" s="49">
        <f t="shared" si="329"/>
        <v>40135.8</v>
      </c>
      <c r="N157" s="49">
        <f t="shared" si="329"/>
        <v>22915.2</v>
      </c>
      <c r="O157" s="49">
        <f t="shared" si="329"/>
        <v>0</v>
      </c>
      <c r="P157" s="49">
        <v>19292</v>
      </c>
      <c r="Q157" s="49">
        <f t="shared" ref="Q157:W157" si="330">SUM(Q158:Q162)</f>
        <v>17938</v>
      </c>
      <c r="R157" s="49">
        <f t="shared" si="330"/>
        <v>14139.6</v>
      </c>
      <c r="S157" s="49">
        <f t="shared" si="330"/>
        <v>210.8</v>
      </c>
      <c r="T157" s="49">
        <f t="shared" si="330"/>
        <v>0</v>
      </c>
      <c r="U157" s="49">
        <f t="shared" si="330"/>
        <v>13928.8</v>
      </c>
      <c r="V157" s="49">
        <f t="shared" si="330"/>
        <v>0</v>
      </c>
      <c r="W157" s="49">
        <f t="shared" si="330"/>
        <v>1501.15886803732</v>
      </c>
      <c r="X157" s="78"/>
      <c r="Y157" s="120">
        <f t="shared" ref="Y157:AI157" si="331">SUM(Y158:Y162)</f>
        <v>0.764049195837275</v>
      </c>
      <c r="Z157" s="49">
        <f t="shared" si="331"/>
        <v>1900.45594781515</v>
      </c>
      <c r="AA157" s="49">
        <v>57</v>
      </c>
      <c r="AB157" s="49">
        <f t="shared" si="331"/>
        <v>41583.0588235294</v>
      </c>
      <c r="AC157" s="49">
        <f t="shared" si="331"/>
        <v>41583.0588235294</v>
      </c>
      <c r="AD157" s="55">
        <f t="shared" si="331"/>
        <v>63051</v>
      </c>
      <c r="AE157" s="49">
        <f t="shared" si="331"/>
        <v>0</v>
      </c>
      <c r="AF157" s="121">
        <f t="shared" si="331"/>
        <v>0</v>
      </c>
      <c r="AG157" s="121">
        <f t="shared" si="331"/>
        <v>4</v>
      </c>
      <c r="AH157" s="121">
        <f t="shared" si="331"/>
        <v>0</v>
      </c>
      <c r="AI157" s="49">
        <f t="shared" si="331"/>
        <v>2000</v>
      </c>
      <c r="AJ157" s="120"/>
      <c r="AK157" s="49">
        <f t="shared" ref="AK157:AO157" si="332">SUM(AK158:AK162)</f>
        <v>298.841897940303</v>
      </c>
      <c r="AL157" s="55">
        <f t="shared" si="332"/>
        <v>455.64</v>
      </c>
      <c r="AM157" s="49">
        <f t="shared" si="332"/>
        <v>302.684746344818</v>
      </c>
      <c r="AN157" s="121">
        <f t="shared" si="332"/>
        <v>47586</v>
      </c>
      <c r="AO157" s="121">
        <f t="shared" si="332"/>
        <v>40031</v>
      </c>
      <c r="AP157" s="125">
        <f t="shared" si="288"/>
        <v>5.29861019192588</v>
      </c>
      <c r="AQ157" s="120">
        <f>SUM(AQ158:AQ162)</f>
        <v>43425.0895370339</v>
      </c>
      <c r="AR157" s="198">
        <f t="shared" si="289"/>
        <v>10.4364393138319</v>
      </c>
      <c r="AS157" s="5"/>
      <c r="AT157" s="5"/>
      <c r="AU157" s="5"/>
      <c r="AV157" s="5"/>
      <c r="AW157" s="5"/>
      <c r="AX157" s="5"/>
      <c r="AY157" s="5"/>
      <c r="AZ157" s="5" t="s">
        <v>220</v>
      </c>
      <c r="BA157" s="5">
        <v>5659</v>
      </c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</row>
    <row r="158" ht="17" customHeight="1" spans="1:53">
      <c r="A158" s="31">
        <v>105</v>
      </c>
      <c r="B158" s="51" t="s">
        <v>200</v>
      </c>
      <c r="C158" s="31" t="s">
        <v>90</v>
      </c>
      <c r="D158" s="31">
        <v>2017</v>
      </c>
      <c r="E158" s="31"/>
      <c r="F158" s="31" t="s">
        <v>146</v>
      </c>
      <c r="G158" s="189">
        <f>VLOOKUP(B:B,$AZ:$BA,2,0)</f>
        <v>46</v>
      </c>
      <c r="H158" s="189">
        <f>G158*210000/381298.76</f>
        <v>25.3344647645851</v>
      </c>
      <c r="I158" s="189">
        <v>20550</v>
      </c>
      <c r="J158" s="44">
        <f t="shared" si="321"/>
        <v>8220</v>
      </c>
      <c r="K158" s="44">
        <f t="shared" si="322"/>
        <v>0</v>
      </c>
      <c r="L158" s="44">
        <f t="shared" si="323"/>
        <v>8220</v>
      </c>
      <c r="M158" s="44">
        <f t="shared" si="324"/>
        <v>0</v>
      </c>
      <c r="N158" s="44">
        <f t="shared" si="325"/>
        <v>0</v>
      </c>
      <c r="O158" s="44">
        <f t="shared" si="326"/>
        <v>0</v>
      </c>
      <c r="P158" s="44">
        <v>3958</v>
      </c>
      <c r="Q158" s="44">
        <v>4796</v>
      </c>
      <c r="R158" s="44">
        <f t="shared" ref="R158:R162" si="333">S158+T158+U158+V158</f>
        <v>3836.8</v>
      </c>
      <c r="S158" s="44"/>
      <c r="T158" s="44"/>
      <c r="U158" s="44">
        <f t="shared" ref="U158:U161" si="334">Q158*0.8</f>
        <v>3836.8</v>
      </c>
      <c r="V158" s="44"/>
      <c r="W158" s="44">
        <f t="shared" ref="W158:W162" si="335">(J158/$J$9*0.2+P158/$P$9*0.05+R158/$R$9*0.05)*299423</f>
        <v>235.846262556672</v>
      </c>
      <c r="X158" s="76">
        <v>13618</v>
      </c>
      <c r="Y158" s="115">
        <f t="shared" ref="Y158:Y162" si="336">IF(X158&lt;12842,(12842-X158)/(12842-$X$175),0)</f>
        <v>0</v>
      </c>
      <c r="Z158" s="44">
        <f t="shared" ref="Z158:Z162" si="337">(Y158/$Y$9*0.15)*299423</f>
        <v>0</v>
      </c>
      <c r="AA158" s="44">
        <v>8</v>
      </c>
      <c r="AB158" s="44">
        <f>VLOOKUP(B:B,小康村到县资金!C:I,7,0)</f>
        <v>5190.52941176471</v>
      </c>
      <c r="AC158" s="44">
        <v>5190.52941176471</v>
      </c>
      <c r="AD158" s="76"/>
      <c r="AE158" s="44">
        <f t="shared" ref="AE158:AE162" si="338">AD158/$AD$9*71500</f>
        <v>0</v>
      </c>
      <c r="AF158" s="44"/>
      <c r="AG158" s="44"/>
      <c r="AH158" s="44"/>
      <c r="AI158" s="44">
        <v>500</v>
      </c>
      <c r="AJ158" s="115">
        <f>VLOOKUP(B:B,'表6资金使用成效（12月30日）'!B:L,11,0)</f>
        <v>0.926690104574871</v>
      </c>
      <c r="AK158" s="44">
        <f t="shared" ref="AK158:AK162" si="339">AJ158/$AJ$9*0.025*299423</f>
        <v>59.6989013370513</v>
      </c>
      <c r="AL158" s="76">
        <v>94.52</v>
      </c>
      <c r="AM158" s="44">
        <f t="shared" ref="AM158:AM162" si="340">(AL158/$AL$9)*0.025*299423</f>
        <v>62.7902779047323</v>
      </c>
      <c r="AN158" s="67">
        <f t="shared" ref="AN158:AN162" si="341">ROUND(AM158+AK158+AE158+AC158+Z158+W158+AI158+AF158,0)</f>
        <v>6049</v>
      </c>
      <c r="AO158" s="67">
        <f t="shared" si="327"/>
        <v>6003</v>
      </c>
      <c r="AP158" s="125">
        <f t="shared" si="288"/>
        <v>130.5</v>
      </c>
      <c r="AQ158" s="44">
        <f t="shared" si="328"/>
        <v>6023.66553523541</v>
      </c>
      <c r="AR158" s="198">
        <f t="shared" si="289"/>
        <v>237.765652095238</v>
      </c>
      <c r="AZ158" s="5" t="s">
        <v>221</v>
      </c>
      <c r="BA158" s="5">
        <v>8469</v>
      </c>
    </row>
    <row r="159" ht="17" customHeight="1" spans="1:53">
      <c r="A159" s="31">
        <v>106</v>
      </c>
      <c r="B159" s="51" t="s">
        <v>201</v>
      </c>
      <c r="C159" s="31" t="s">
        <v>90</v>
      </c>
      <c r="D159" s="31">
        <v>2019</v>
      </c>
      <c r="E159" s="31" t="s">
        <v>91</v>
      </c>
      <c r="F159" s="31"/>
      <c r="G159" s="189">
        <f>VLOOKUP(B:B,$AZ:$BA,2,0)</f>
        <v>2176</v>
      </c>
      <c r="H159" s="189">
        <f>G159*210000/381298.76</f>
        <v>1198.43033321168</v>
      </c>
      <c r="I159" s="189">
        <v>28644</v>
      </c>
      <c r="J159" s="44">
        <f t="shared" si="321"/>
        <v>22915.2</v>
      </c>
      <c r="K159" s="44">
        <f t="shared" si="322"/>
        <v>0</v>
      </c>
      <c r="L159" s="44">
        <f t="shared" si="323"/>
        <v>0</v>
      </c>
      <c r="M159" s="44">
        <f t="shared" si="324"/>
        <v>0</v>
      </c>
      <c r="N159" s="44">
        <f t="shared" si="325"/>
        <v>22915.2</v>
      </c>
      <c r="O159" s="44">
        <f t="shared" si="326"/>
        <v>0</v>
      </c>
      <c r="P159" s="44">
        <v>4223</v>
      </c>
      <c r="Q159" s="44">
        <v>3702</v>
      </c>
      <c r="R159" s="44">
        <f t="shared" si="333"/>
        <v>2961.6</v>
      </c>
      <c r="S159" s="44"/>
      <c r="T159" s="44"/>
      <c r="U159" s="44">
        <f t="shared" si="334"/>
        <v>2961.6</v>
      </c>
      <c r="V159" s="44"/>
      <c r="W159" s="44">
        <f t="shared" si="335"/>
        <v>410.651149412534</v>
      </c>
      <c r="X159" s="76">
        <v>10375</v>
      </c>
      <c r="Y159" s="115">
        <f t="shared" si="336"/>
        <v>0.466792809839167</v>
      </c>
      <c r="Z159" s="44">
        <f t="shared" si="337"/>
        <v>1161.0759839673</v>
      </c>
      <c r="AA159" s="44"/>
      <c r="AB159" s="44"/>
      <c r="AC159" s="44"/>
      <c r="AD159" s="76">
        <f t="shared" ref="AD159:AD161" si="342">J159</f>
        <v>22915.2</v>
      </c>
      <c r="AE159" s="44"/>
      <c r="AF159" s="44"/>
      <c r="AG159" s="44">
        <v>4</v>
      </c>
      <c r="AH159" s="44"/>
      <c r="AI159" s="44"/>
      <c r="AJ159" s="115">
        <f>VLOOKUP(B:B,'表6资金使用成效（12月30日）'!B:L,11,0)</f>
        <v>0.922444774739272</v>
      </c>
      <c r="AK159" s="44">
        <f t="shared" si="339"/>
        <v>59.4254102036643</v>
      </c>
      <c r="AL159" s="76">
        <v>88.51</v>
      </c>
      <c r="AM159" s="44">
        <f t="shared" si="340"/>
        <v>58.797794089588</v>
      </c>
      <c r="AN159" s="67">
        <f t="shared" si="341"/>
        <v>1690</v>
      </c>
      <c r="AO159" s="67">
        <f t="shared" si="327"/>
        <v>-486</v>
      </c>
      <c r="AP159" s="125">
        <f t="shared" si="288"/>
        <v>-0.223345588235294</v>
      </c>
      <c r="AQ159" s="44">
        <f t="shared" si="328"/>
        <v>491.56966678832</v>
      </c>
      <c r="AR159" s="198">
        <f t="shared" si="289"/>
        <v>0.410177924544817</v>
      </c>
      <c r="AZ159" s="5" t="s">
        <v>222</v>
      </c>
      <c r="BA159" s="5">
        <v>14798</v>
      </c>
    </row>
    <row r="160" ht="17" customHeight="1" spans="1:53">
      <c r="A160" s="31">
        <v>107</v>
      </c>
      <c r="B160" s="51" t="s">
        <v>202</v>
      </c>
      <c r="C160" s="31" t="s">
        <v>90</v>
      </c>
      <c r="D160" s="31">
        <v>2018</v>
      </c>
      <c r="E160" s="31" t="s">
        <v>91</v>
      </c>
      <c r="F160" s="31" t="s">
        <v>146</v>
      </c>
      <c r="G160" s="189">
        <f>VLOOKUP(B:B,$AZ:$BA,2,0)</f>
        <v>1169</v>
      </c>
      <c r="H160" s="189">
        <f>G160*210000/381298.76</f>
        <v>643.82585456087</v>
      </c>
      <c r="I160" s="189">
        <v>38110</v>
      </c>
      <c r="J160" s="44">
        <f t="shared" si="321"/>
        <v>22866</v>
      </c>
      <c r="K160" s="44">
        <f t="shared" si="322"/>
        <v>0</v>
      </c>
      <c r="L160" s="44">
        <f t="shared" si="323"/>
        <v>0</v>
      </c>
      <c r="M160" s="44">
        <f t="shared" si="324"/>
        <v>22866</v>
      </c>
      <c r="N160" s="44">
        <f t="shared" si="325"/>
        <v>0</v>
      </c>
      <c r="O160" s="44">
        <f t="shared" si="326"/>
        <v>0</v>
      </c>
      <c r="P160" s="44">
        <v>5824</v>
      </c>
      <c r="Q160" s="44">
        <v>3888</v>
      </c>
      <c r="R160" s="44">
        <f t="shared" si="333"/>
        <v>3110.4</v>
      </c>
      <c r="S160" s="44"/>
      <c r="T160" s="44"/>
      <c r="U160" s="44">
        <f t="shared" si="334"/>
        <v>3110.4</v>
      </c>
      <c r="V160" s="44"/>
      <c r="W160" s="44">
        <f t="shared" si="335"/>
        <v>441.204080926977</v>
      </c>
      <c r="X160" s="76">
        <v>12679</v>
      </c>
      <c r="Y160" s="115">
        <f t="shared" si="336"/>
        <v>0.0308420056764428</v>
      </c>
      <c r="Z160" s="44">
        <f t="shared" si="337"/>
        <v>76.7147893744106</v>
      </c>
      <c r="AA160" s="44">
        <v>22</v>
      </c>
      <c r="AB160" s="44">
        <f>VLOOKUP(B:B,小康村到县资金!C:I,7,0)</f>
        <v>15369.7058823529</v>
      </c>
      <c r="AC160" s="44">
        <v>15369.7058823529</v>
      </c>
      <c r="AD160" s="76">
        <f t="shared" si="342"/>
        <v>22866</v>
      </c>
      <c r="AE160" s="44"/>
      <c r="AF160" s="44"/>
      <c r="AG160" s="44"/>
      <c r="AH160" s="44"/>
      <c r="AI160" s="44">
        <v>500</v>
      </c>
      <c r="AJ160" s="115">
        <f>VLOOKUP(B:B,'表6资金使用成效（12月30日）'!B:L,11,0)</f>
        <v>0.931188586968474</v>
      </c>
      <c r="AK160" s="44">
        <f t="shared" si="339"/>
        <v>59.9887009747687</v>
      </c>
      <c r="AL160" s="76">
        <v>89.98</v>
      </c>
      <c r="AM160" s="44">
        <f t="shared" si="340"/>
        <v>59.7743250726599</v>
      </c>
      <c r="AN160" s="67">
        <f t="shared" si="341"/>
        <v>16507</v>
      </c>
      <c r="AO160" s="67">
        <f t="shared" si="327"/>
        <v>15338</v>
      </c>
      <c r="AP160" s="125">
        <f t="shared" si="288"/>
        <v>13.1206159110351</v>
      </c>
      <c r="AQ160" s="44">
        <f t="shared" si="328"/>
        <v>15863.1741454391</v>
      </c>
      <c r="AR160" s="198">
        <f t="shared" si="289"/>
        <v>24.6389206538759</v>
      </c>
      <c r="AZ160" s="5" t="s">
        <v>223</v>
      </c>
      <c r="BA160" s="5">
        <v>0</v>
      </c>
    </row>
    <row r="161" ht="17" customHeight="1" spans="1:53">
      <c r="A161" s="31">
        <v>108</v>
      </c>
      <c r="B161" s="51" t="s">
        <v>203</v>
      </c>
      <c r="C161" s="31" t="s">
        <v>90</v>
      </c>
      <c r="D161" s="31">
        <v>2018</v>
      </c>
      <c r="E161" s="31" t="s">
        <v>91</v>
      </c>
      <c r="F161" s="31" t="s">
        <v>146</v>
      </c>
      <c r="G161" s="189">
        <f>VLOOKUP(B:B,$AZ:$BA,2,0)</f>
        <v>1261</v>
      </c>
      <c r="H161" s="189">
        <f>G161*210000/381298.76</f>
        <v>694.49478409004</v>
      </c>
      <c r="I161" s="189">
        <v>28783</v>
      </c>
      <c r="J161" s="44">
        <f t="shared" si="321"/>
        <v>17269.8</v>
      </c>
      <c r="K161" s="44">
        <f t="shared" si="322"/>
        <v>0</v>
      </c>
      <c r="L161" s="44">
        <f t="shared" si="323"/>
        <v>0</v>
      </c>
      <c r="M161" s="44">
        <f t="shared" si="324"/>
        <v>17269.8</v>
      </c>
      <c r="N161" s="44">
        <f t="shared" si="325"/>
        <v>0</v>
      </c>
      <c r="O161" s="44">
        <f t="shared" si="326"/>
        <v>0</v>
      </c>
      <c r="P161" s="44">
        <v>3602</v>
      </c>
      <c r="Q161" s="44">
        <v>5025</v>
      </c>
      <c r="R161" s="44">
        <f t="shared" si="333"/>
        <v>4020</v>
      </c>
      <c r="S161" s="44"/>
      <c r="T161" s="44"/>
      <c r="U161" s="44">
        <f t="shared" si="334"/>
        <v>4020</v>
      </c>
      <c r="V161" s="44"/>
      <c r="W161" s="44">
        <f t="shared" si="335"/>
        <v>345.781578648404</v>
      </c>
      <c r="X161" s="76">
        <v>11434</v>
      </c>
      <c r="Y161" s="115">
        <f t="shared" si="336"/>
        <v>0.266414380321665</v>
      </c>
      <c r="Z161" s="44">
        <f t="shared" si="337"/>
        <v>662.665174473436</v>
      </c>
      <c r="AA161" s="44">
        <v>7</v>
      </c>
      <c r="AB161" s="44"/>
      <c r="AC161" s="44"/>
      <c r="AD161" s="76">
        <f t="shared" si="342"/>
        <v>17269.8</v>
      </c>
      <c r="AE161" s="44"/>
      <c r="AF161" s="44"/>
      <c r="AG161" s="44"/>
      <c r="AH161" s="44"/>
      <c r="AI161" s="44">
        <v>500</v>
      </c>
      <c r="AJ161" s="115">
        <f>VLOOKUP(B:B,'表6资金使用成效（12月30日）'!B:L,11,0)</f>
        <v>0.926170078942596</v>
      </c>
      <c r="AK161" s="44">
        <f t="shared" si="339"/>
        <v>59.6654004301562</v>
      </c>
      <c r="AL161" s="76">
        <v>92.07</v>
      </c>
      <c r="AM161" s="44">
        <f t="shared" si="340"/>
        <v>61.1627262662791</v>
      </c>
      <c r="AN161" s="67">
        <f t="shared" si="341"/>
        <v>1629</v>
      </c>
      <c r="AO161" s="67">
        <f t="shared" si="327"/>
        <v>368</v>
      </c>
      <c r="AP161" s="125">
        <f t="shared" si="288"/>
        <v>0.291831879460745</v>
      </c>
      <c r="AQ161" s="44">
        <f t="shared" si="328"/>
        <v>934.50521590996</v>
      </c>
      <c r="AR161" s="198">
        <f t="shared" si="289"/>
        <v>1.34558997031834</v>
      </c>
      <c r="AZ161" s="5" t="s">
        <v>224</v>
      </c>
      <c r="BA161" s="5">
        <v>2095</v>
      </c>
    </row>
    <row r="162" ht="17" customHeight="1" spans="1:53">
      <c r="A162" s="31">
        <v>109</v>
      </c>
      <c r="B162" s="51" t="s">
        <v>199</v>
      </c>
      <c r="C162" s="31" t="s">
        <v>78</v>
      </c>
      <c r="D162" s="31"/>
      <c r="E162" s="31"/>
      <c r="F162" s="31" t="s">
        <v>146</v>
      </c>
      <c r="G162" s="189">
        <f>VLOOKUP(B:B,$AZ:$BA,2,0)</f>
        <v>2903</v>
      </c>
      <c r="H162" s="189">
        <f>G162*210000/381298.76</f>
        <v>1598.82502633893</v>
      </c>
      <c r="I162" s="189">
        <v>13568</v>
      </c>
      <c r="J162" s="44">
        <f t="shared" si="321"/>
        <v>2713.6</v>
      </c>
      <c r="K162" s="44">
        <f t="shared" si="322"/>
        <v>2713.6</v>
      </c>
      <c r="L162" s="44">
        <f t="shared" si="323"/>
        <v>0</v>
      </c>
      <c r="M162" s="44">
        <f t="shared" si="324"/>
        <v>0</v>
      </c>
      <c r="N162" s="44">
        <f t="shared" si="325"/>
        <v>0</v>
      </c>
      <c r="O162" s="44">
        <f t="shared" si="326"/>
        <v>0</v>
      </c>
      <c r="P162" s="44">
        <v>1685</v>
      </c>
      <c r="Q162" s="44">
        <v>527</v>
      </c>
      <c r="R162" s="44">
        <f t="shared" si="333"/>
        <v>210.8</v>
      </c>
      <c r="S162" s="44">
        <f>Q162*0.4</f>
        <v>210.8</v>
      </c>
      <c r="T162" s="44"/>
      <c r="U162" s="44"/>
      <c r="V162" s="44"/>
      <c r="W162" s="44">
        <f t="shared" si="335"/>
        <v>67.6757964927322</v>
      </c>
      <c r="X162" s="76">
        <v>13955</v>
      </c>
      <c r="Y162" s="115">
        <f t="shared" si="336"/>
        <v>0</v>
      </c>
      <c r="Z162" s="44">
        <f t="shared" si="337"/>
        <v>0</v>
      </c>
      <c r="AA162" s="44">
        <v>20</v>
      </c>
      <c r="AB162" s="44">
        <f>VLOOKUP(B:B,小康村到县资金!C:I,7,0)</f>
        <v>21022.8235294118</v>
      </c>
      <c r="AC162" s="44">
        <v>21022.8235294118</v>
      </c>
      <c r="AD162" s="76"/>
      <c r="AE162" s="44">
        <f t="shared" si="338"/>
        <v>0</v>
      </c>
      <c r="AF162" s="44"/>
      <c r="AG162" s="44"/>
      <c r="AH162" s="44">
        <f>AG162/$AG$13*9347</f>
        <v>0</v>
      </c>
      <c r="AI162" s="44">
        <v>500</v>
      </c>
      <c r="AJ162" s="115">
        <f>VLOOKUP(B:B,'表6资金使用成效（12月30日）'!B:L,11,0)</f>
        <v>0.932349439340359</v>
      </c>
      <c r="AK162" s="44">
        <f t="shared" si="339"/>
        <v>60.0634849946627</v>
      </c>
      <c r="AL162" s="76">
        <v>90.56</v>
      </c>
      <c r="AM162" s="44">
        <f t="shared" si="340"/>
        <v>60.159623011559</v>
      </c>
      <c r="AN162" s="67">
        <f t="shared" si="341"/>
        <v>21711</v>
      </c>
      <c r="AO162" s="67">
        <f t="shared" si="327"/>
        <v>18808</v>
      </c>
      <c r="AP162" s="125">
        <f t="shared" si="288"/>
        <v>6.47881501894592</v>
      </c>
      <c r="AQ162" s="44">
        <f t="shared" si="328"/>
        <v>20112.1749736611</v>
      </c>
      <c r="AR162" s="198">
        <f t="shared" si="289"/>
        <v>12.5793471094926</v>
      </c>
      <c r="AZ162" s="5" t="s">
        <v>225</v>
      </c>
      <c r="BA162" s="5">
        <v>1728</v>
      </c>
    </row>
    <row r="163" s="6" customFormat="1" ht="17" customHeight="1" spans="1:75">
      <c r="A163" s="39"/>
      <c r="B163" s="40" t="s">
        <v>204</v>
      </c>
      <c r="C163" s="41">
        <v>1</v>
      </c>
      <c r="D163" s="41"/>
      <c r="E163" s="41"/>
      <c r="F163" s="41"/>
      <c r="G163" s="119">
        <f>G164+G165</f>
        <v>7062</v>
      </c>
      <c r="H163" s="119">
        <f>H164+H165</f>
        <v>3889.39109059783</v>
      </c>
      <c r="I163" s="119">
        <f t="shared" ref="I163:O163" si="343">I164+I165</f>
        <v>163512</v>
      </c>
      <c r="J163" s="43">
        <f t="shared" si="343"/>
        <v>129400.2</v>
      </c>
      <c r="K163" s="43">
        <f t="shared" si="343"/>
        <v>3447.6</v>
      </c>
      <c r="L163" s="43">
        <f t="shared" si="343"/>
        <v>5837.2</v>
      </c>
      <c r="M163" s="43">
        <f t="shared" si="343"/>
        <v>0</v>
      </c>
      <c r="N163" s="43">
        <f t="shared" si="343"/>
        <v>46262.4</v>
      </c>
      <c r="O163" s="43">
        <f t="shared" si="343"/>
        <v>73853</v>
      </c>
      <c r="P163" s="43">
        <v>25542</v>
      </c>
      <c r="Q163" s="43">
        <f t="shared" ref="Q163:W163" si="344">Q164+Q165</f>
        <v>24965</v>
      </c>
      <c r="R163" s="43">
        <f t="shared" si="344"/>
        <v>22956.8</v>
      </c>
      <c r="S163" s="43">
        <f t="shared" si="344"/>
        <v>368.4</v>
      </c>
      <c r="T163" s="43">
        <f t="shared" si="344"/>
        <v>2183.4</v>
      </c>
      <c r="U163" s="43">
        <f t="shared" si="344"/>
        <v>0</v>
      </c>
      <c r="V163" s="43">
        <f t="shared" si="344"/>
        <v>20405</v>
      </c>
      <c r="W163" s="43">
        <f t="shared" si="344"/>
        <v>2449.63704528416</v>
      </c>
      <c r="X163" s="77"/>
      <c r="Y163" s="118">
        <f t="shared" ref="Y163:AI163" si="345">Y164+Y165</f>
        <v>0.732261116367077</v>
      </c>
      <c r="Z163" s="43">
        <f t="shared" si="345"/>
        <v>1821.38794404275</v>
      </c>
      <c r="AA163" s="43">
        <v>0</v>
      </c>
      <c r="AB163" s="43">
        <f t="shared" si="345"/>
        <v>0</v>
      </c>
      <c r="AC163" s="43">
        <f t="shared" si="345"/>
        <v>0</v>
      </c>
      <c r="AD163" s="54">
        <f t="shared" si="345"/>
        <v>120115.4</v>
      </c>
      <c r="AE163" s="43">
        <f t="shared" si="345"/>
        <v>0</v>
      </c>
      <c r="AF163" s="119">
        <f t="shared" si="345"/>
        <v>0</v>
      </c>
      <c r="AG163" s="119">
        <f t="shared" si="345"/>
        <v>23</v>
      </c>
      <c r="AH163" s="119">
        <f t="shared" si="345"/>
        <v>387.842323651452</v>
      </c>
      <c r="AI163" s="43">
        <f t="shared" si="345"/>
        <v>1000</v>
      </c>
      <c r="AJ163" s="118"/>
      <c r="AK163" s="43">
        <f t="shared" ref="AK163:AO163" si="346">AK164+AK165</f>
        <v>300.992473536546</v>
      </c>
      <c r="AL163" s="54">
        <f t="shared" si="346"/>
        <v>450.44</v>
      </c>
      <c r="AM163" s="43">
        <f t="shared" si="346"/>
        <v>299.23035103055</v>
      </c>
      <c r="AN163" s="119">
        <f t="shared" si="346"/>
        <v>5871</v>
      </c>
      <c r="AO163" s="119">
        <f t="shared" si="346"/>
        <v>-1191</v>
      </c>
      <c r="AP163" s="125">
        <f t="shared" si="288"/>
        <v>-0.168649107901444</v>
      </c>
      <c r="AQ163" s="118">
        <f>AQ164+AQ165</f>
        <v>1981.60890940217</v>
      </c>
      <c r="AR163" s="198">
        <f t="shared" si="289"/>
        <v>0.509490782295585</v>
      </c>
      <c r="AS163" s="5"/>
      <c r="AT163" s="5"/>
      <c r="AU163" s="5"/>
      <c r="AV163" s="5"/>
      <c r="AW163" s="5"/>
      <c r="AX163" s="5"/>
      <c r="AY163" s="5"/>
      <c r="AZ163" s="5" t="s">
        <v>226</v>
      </c>
      <c r="BA163" s="5">
        <v>707</v>
      </c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</row>
    <row r="164" ht="17" customHeight="1" spans="1:53">
      <c r="A164" s="29"/>
      <c r="B164" s="30" t="s">
        <v>205</v>
      </c>
      <c r="C164" s="31">
        <v>2</v>
      </c>
      <c r="D164" s="31"/>
      <c r="E164" s="31"/>
      <c r="F164" s="31"/>
      <c r="G164" s="189"/>
      <c r="H164" s="189"/>
      <c r="I164" s="189"/>
      <c r="J164" s="44">
        <f t="shared" ref="J164:J170" si="347">SUM(K164:O164)</f>
        <v>0</v>
      </c>
      <c r="K164" s="44">
        <f t="shared" ref="K164:K170" si="348">IF(D164="",I164*0.2,0)</f>
        <v>0</v>
      </c>
      <c r="L164" s="44">
        <f t="shared" ref="L164:L170" si="349">IF(D164=2017,I164*0.4,0)</f>
        <v>0</v>
      </c>
      <c r="M164" s="44">
        <f t="shared" ref="M164:M170" si="350">IF(D164=2018,I164*0.6,0)</f>
        <v>0</v>
      </c>
      <c r="N164" s="44">
        <f t="shared" ref="N164:N170" si="351">IF(D164=2019,I164*0.8,0)</f>
        <v>0</v>
      </c>
      <c r="O164" s="44">
        <f t="shared" ref="O164:O170" si="352">IF(D164=2020,I164*1,0)</f>
        <v>0</v>
      </c>
      <c r="P164" s="44"/>
      <c r="Q164" s="44"/>
      <c r="R164" s="44">
        <f>N164*0.4+O164*0.6+P164*0.8+Q164*1</f>
        <v>0</v>
      </c>
      <c r="S164" s="44">
        <f>Q164-T164-U164-V164</f>
        <v>0</v>
      </c>
      <c r="T164" s="44"/>
      <c r="U164" s="44"/>
      <c r="V164" s="44"/>
      <c r="W164" s="44"/>
      <c r="X164" s="76"/>
      <c r="Y164" s="115"/>
      <c r="Z164" s="44"/>
      <c r="AA164" s="44"/>
      <c r="AB164" s="44"/>
      <c r="AC164" s="44"/>
      <c r="AD164" s="76"/>
      <c r="AE164" s="44"/>
      <c r="AF164" s="44"/>
      <c r="AG164" s="44"/>
      <c r="AH164" s="44"/>
      <c r="AI164" s="44"/>
      <c r="AJ164" s="115"/>
      <c r="AK164" s="44">
        <f>AJ164/$AJ$9*0.05*200000</f>
        <v>0</v>
      </c>
      <c r="AL164" s="76"/>
      <c r="AM164" s="44">
        <f>(AL164/$AL$9)*0.05*200000</f>
        <v>0</v>
      </c>
      <c r="AN164" s="67">
        <f>ROUND(AM164+AK164+AE164+AC164+Z164+W164,0)</f>
        <v>0</v>
      </c>
      <c r="AO164" s="67">
        <f t="shared" ref="AO164:AO170" si="353">AN164-G164</f>
        <v>0</v>
      </c>
      <c r="AP164" s="125" t="e">
        <f t="shared" si="288"/>
        <v>#DIV/0!</v>
      </c>
      <c r="AQ164" s="115">
        <f t="shared" ref="AQ164:AQ170" si="354">AN164-H164</f>
        <v>0</v>
      </c>
      <c r="AR164" s="198"/>
      <c r="AZ164" s="5" t="s">
        <v>227</v>
      </c>
      <c r="BA164" s="5">
        <v>1381</v>
      </c>
    </row>
    <row r="165" s="7" customFormat="1" ht="17" customHeight="1" spans="1:75">
      <c r="A165" s="45"/>
      <c r="B165" s="46" t="s">
        <v>76</v>
      </c>
      <c r="C165" s="47">
        <v>3</v>
      </c>
      <c r="D165" s="47"/>
      <c r="E165" s="47"/>
      <c r="F165" s="47"/>
      <c r="G165" s="121">
        <f>SUM(G166:G170)</f>
        <v>7062</v>
      </c>
      <c r="H165" s="121">
        <f>SUM(H166:H170)</f>
        <v>3889.39109059783</v>
      </c>
      <c r="I165" s="121">
        <f t="shared" ref="I165:O165" si="355">SUM(I166:I170)</f>
        <v>163512</v>
      </c>
      <c r="J165" s="49">
        <f t="shared" si="355"/>
        <v>129400.2</v>
      </c>
      <c r="K165" s="49">
        <f t="shared" si="355"/>
        <v>3447.6</v>
      </c>
      <c r="L165" s="49">
        <f t="shared" si="355"/>
        <v>5837.2</v>
      </c>
      <c r="M165" s="49">
        <f t="shared" si="355"/>
        <v>0</v>
      </c>
      <c r="N165" s="49">
        <f t="shared" si="355"/>
        <v>46262.4</v>
      </c>
      <c r="O165" s="49">
        <f t="shared" si="355"/>
        <v>73853</v>
      </c>
      <c r="P165" s="49">
        <v>25542</v>
      </c>
      <c r="Q165" s="49">
        <f t="shared" ref="Q165:W165" si="356">SUM(Q166:Q170)</f>
        <v>24965</v>
      </c>
      <c r="R165" s="49">
        <f t="shared" si="356"/>
        <v>22956.8</v>
      </c>
      <c r="S165" s="49">
        <f t="shared" si="356"/>
        <v>368.4</v>
      </c>
      <c r="T165" s="49">
        <f t="shared" si="356"/>
        <v>2183.4</v>
      </c>
      <c r="U165" s="49">
        <f t="shared" si="356"/>
        <v>0</v>
      </c>
      <c r="V165" s="49">
        <f t="shared" si="356"/>
        <v>20405</v>
      </c>
      <c r="W165" s="49">
        <f t="shared" si="356"/>
        <v>2449.63704528416</v>
      </c>
      <c r="X165" s="78"/>
      <c r="Y165" s="120">
        <f t="shared" ref="Y165:AI165" si="357">SUM(Y166:Y170)</f>
        <v>0.732261116367077</v>
      </c>
      <c r="Z165" s="49">
        <f t="shared" si="357"/>
        <v>1821.38794404275</v>
      </c>
      <c r="AA165" s="49">
        <v>0</v>
      </c>
      <c r="AB165" s="49">
        <f t="shared" si="357"/>
        <v>0</v>
      </c>
      <c r="AC165" s="49">
        <f t="shared" si="357"/>
        <v>0</v>
      </c>
      <c r="AD165" s="55">
        <f t="shared" si="357"/>
        <v>120115.4</v>
      </c>
      <c r="AE165" s="49">
        <f t="shared" si="357"/>
        <v>0</v>
      </c>
      <c r="AF165" s="121">
        <f t="shared" si="357"/>
        <v>0</v>
      </c>
      <c r="AG165" s="121">
        <f t="shared" si="357"/>
        <v>23</v>
      </c>
      <c r="AH165" s="121">
        <f t="shared" si="357"/>
        <v>387.842323651452</v>
      </c>
      <c r="AI165" s="49">
        <f t="shared" si="357"/>
        <v>1000</v>
      </c>
      <c r="AJ165" s="120"/>
      <c r="AK165" s="49">
        <f t="shared" ref="AK165:AO165" si="358">SUM(AK166:AK170)</f>
        <v>300.992473536546</v>
      </c>
      <c r="AL165" s="55">
        <f t="shared" si="358"/>
        <v>450.44</v>
      </c>
      <c r="AM165" s="49">
        <f t="shared" si="358"/>
        <v>299.23035103055</v>
      </c>
      <c r="AN165" s="121">
        <f t="shared" si="358"/>
        <v>5871</v>
      </c>
      <c r="AO165" s="121">
        <f t="shared" si="358"/>
        <v>-1191</v>
      </c>
      <c r="AP165" s="125">
        <f t="shared" si="288"/>
        <v>-0.168649107901444</v>
      </c>
      <c r="AQ165" s="120">
        <f>SUM(AQ166:AQ170)</f>
        <v>1981.60890940217</v>
      </c>
      <c r="AR165" s="198">
        <f t="shared" si="289"/>
        <v>0.509490782295585</v>
      </c>
      <c r="AS165" s="5"/>
      <c r="AT165" s="5"/>
      <c r="AU165" s="5"/>
      <c r="AV165" s="5"/>
      <c r="AW165" s="5"/>
      <c r="AX165" s="5"/>
      <c r="AY165" s="5"/>
      <c r="AZ165" s="5" t="s">
        <v>228</v>
      </c>
      <c r="BA165" s="5">
        <v>2341</v>
      </c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</row>
    <row r="166" ht="17" customHeight="1" spans="1:53">
      <c r="A166" s="31">
        <v>110</v>
      </c>
      <c r="B166" s="51" t="s">
        <v>206</v>
      </c>
      <c r="C166" s="31" t="s">
        <v>78</v>
      </c>
      <c r="D166" s="31"/>
      <c r="E166" s="31"/>
      <c r="F166" s="31"/>
      <c r="G166" s="189">
        <f>VLOOKUP(B:B,$AZ:$BA,2,0)</f>
        <v>464</v>
      </c>
      <c r="H166" s="189">
        <f>G166*210000/381298.76</f>
        <v>255.547644581902</v>
      </c>
      <c r="I166" s="189">
        <v>1798</v>
      </c>
      <c r="J166" s="44">
        <f t="shared" si="347"/>
        <v>359.6</v>
      </c>
      <c r="K166" s="44">
        <f t="shared" si="348"/>
        <v>359.6</v>
      </c>
      <c r="L166" s="44">
        <f t="shared" si="349"/>
        <v>0</v>
      </c>
      <c r="M166" s="44">
        <f t="shared" si="350"/>
        <v>0</v>
      </c>
      <c r="N166" s="44">
        <f t="shared" si="351"/>
        <v>0</v>
      </c>
      <c r="O166" s="44">
        <f t="shared" si="352"/>
        <v>0</v>
      </c>
      <c r="P166" s="44">
        <v>356</v>
      </c>
      <c r="Q166" s="44">
        <v>177</v>
      </c>
      <c r="R166" s="44">
        <f t="shared" ref="R166:R170" si="359">S166+T166+U166+V166</f>
        <v>70.8</v>
      </c>
      <c r="S166" s="44">
        <f>Q166*0.4</f>
        <v>70.8</v>
      </c>
      <c r="T166" s="44"/>
      <c r="U166" s="44"/>
      <c r="V166" s="44"/>
      <c r="W166" s="44">
        <f t="shared" ref="W166:W170" si="360">(J166/$J$9*0.2+P166/$P$9*0.05+R166/$R$9*0.05)*299423</f>
        <v>12.0429874556592</v>
      </c>
      <c r="X166" s="76">
        <v>20632</v>
      </c>
      <c r="Y166" s="115">
        <f t="shared" ref="Y166:Y170" si="361">IF(X166&lt;12842,(12842-X166)/(12842-$X$175),0)</f>
        <v>0</v>
      </c>
      <c r="Z166" s="44">
        <f t="shared" ref="Z166:Z170" si="362">(Y166/$Y$9*0.15)*299423</f>
        <v>0</v>
      </c>
      <c r="AA166" s="44"/>
      <c r="AB166" s="44"/>
      <c r="AC166" s="44"/>
      <c r="AD166" s="76"/>
      <c r="AE166" s="44">
        <f t="shared" ref="AE166:AE170" si="363">AD166/$AD$9*71500</f>
        <v>0</v>
      </c>
      <c r="AF166" s="44"/>
      <c r="AG166" s="44">
        <v>5</v>
      </c>
      <c r="AH166" s="44">
        <f>AG166/$AG$13*9347</f>
        <v>193.921161825726</v>
      </c>
      <c r="AI166" s="44"/>
      <c r="AJ166" s="115">
        <f>VLOOKUP(B:B,'表6资金使用成效（12月30日）'!B:L,11,0)</f>
        <v>0.972846657099626</v>
      </c>
      <c r="AK166" s="44">
        <f t="shared" ref="AK166:AK170" si="364">AJ166/$AJ$9*0.025*299423</f>
        <v>62.6723823979048</v>
      </c>
      <c r="AL166" s="76">
        <v>97.08</v>
      </c>
      <c r="AM166" s="44">
        <f t="shared" ref="AM166:AM170" si="365">(AL166/$AL$9)*0.025*299423</f>
        <v>64.4909032902181</v>
      </c>
      <c r="AN166" s="67">
        <f t="shared" ref="AN166:AN170" si="366">ROUND(AM166+AK166+AE166+AC166+Z166+W166+AI166+AF166,0)</f>
        <v>139</v>
      </c>
      <c r="AO166" s="67">
        <f t="shared" si="353"/>
        <v>-325</v>
      </c>
      <c r="AP166" s="125">
        <f t="shared" si="288"/>
        <v>-0.700431034482759</v>
      </c>
      <c r="AQ166" s="44">
        <f t="shared" si="354"/>
        <v>-116.547644581902</v>
      </c>
      <c r="AR166" s="198">
        <f t="shared" si="289"/>
        <v>-0.45607011863711</v>
      </c>
      <c r="AZ166" s="5" t="s">
        <v>229</v>
      </c>
      <c r="BA166" s="5">
        <v>1879</v>
      </c>
    </row>
    <row r="167" ht="17" customHeight="1" spans="1:53">
      <c r="A167" s="31">
        <v>111</v>
      </c>
      <c r="B167" s="51" t="s">
        <v>208</v>
      </c>
      <c r="C167" s="31" t="s">
        <v>90</v>
      </c>
      <c r="D167" s="31">
        <v>2019</v>
      </c>
      <c r="E167" s="31" t="s">
        <v>91</v>
      </c>
      <c r="F167" s="31"/>
      <c r="G167" s="189">
        <f>VLOOKUP(B:B,$AZ:$BA,2,0)</f>
        <v>1546</v>
      </c>
      <c r="H167" s="189">
        <f>G167*210000/381298.76</f>
        <v>851.458315783665</v>
      </c>
      <c r="I167" s="189">
        <v>57828</v>
      </c>
      <c r="J167" s="44">
        <f t="shared" si="347"/>
        <v>46262.4</v>
      </c>
      <c r="K167" s="44">
        <f t="shared" si="348"/>
        <v>0</v>
      </c>
      <c r="L167" s="44">
        <f t="shared" si="349"/>
        <v>0</v>
      </c>
      <c r="M167" s="44">
        <f t="shared" si="350"/>
        <v>0</v>
      </c>
      <c r="N167" s="44">
        <f t="shared" si="351"/>
        <v>46262.4</v>
      </c>
      <c r="O167" s="44">
        <f t="shared" si="352"/>
        <v>0</v>
      </c>
      <c r="P167" s="44">
        <v>9793</v>
      </c>
      <c r="Q167" s="44">
        <v>2624</v>
      </c>
      <c r="R167" s="44">
        <f t="shared" si="359"/>
        <v>1574.4</v>
      </c>
      <c r="S167" s="44"/>
      <c r="T167" s="44">
        <f>Q167*0.6</f>
        <v>1574.4</v>
      </c>
      <c r="U167" s="44"/>
      <c r="V167" s="44"/>
      <c r="W167" s="44">
        <f t="shared" si="360"/>
        <v>780.973793145658</v>
      </c>
      <c r="X167" s="76">
        <v>13174</v>
      </c>
      <c r="Y167" s="115">
        <f t="shared" si="361"/>
        <v>0</v>
      </c>
      <c r="Z167" s="44">
        <f t="shared" si="362"/>
        <v>0</v>
      </c>
      <c r="AA167" s="44"/>
      <c r="AB167" s="44"/>
      <c r="AC167" s="44"/>
      <c r="AD167" s="76">
        <f>J167</f>
        <v>46262.4</v>
      </c>
      <c r="AE167" s="44"/>
      <c r="AF167" s="44"/>
      <c r="AG167" s="44">
        <v>3</v>
      </c>
      <c r="AH167" s="44"/>
      <c r="AI167" s="44"/>
      <c r="AJ167" s="115">
        <f>VLOOKUP(B:B,'表6资金使用成效（12月30日）'!B:L,11,0)</f>
        <v>0.94757248051669</v>
      </c>
      <c r="AK167" s="44">
        <f t="shared" si="364"/>
        <v>61.0441783556353</v>
      </c>
      <c r="AL167" s="76">
        <v>89.25</v>
      </c>
      <c r="AM167" s="44">
        <f t="shared" si="365"/>
        <v>59.28938111508</v>
      </c>
      <c r="AN167" s="67">
        <f t="shared" si="366"/>
        <v>901</v>
      </c>
      <c r="AO167" s="67">
        <f t="shared" si="353"/>
        <v>-645</v>
      </c>
      <c r="AP167" s="125">
        <f t="shared" si="288"/>
        <v>-0.417205692108668</v>
      </c>
      <c r="AQ167" s="44">
        <f t="shared" si="354"/>
        <v>49.5416842163351</v>
      </c>
      <c r="AR167" s="198">
        <f t="shared" si="289"/>
        <v>0.0581845092096351</v>
      </c>
      <c r="AZ167" s="5" t="s">
        <v>230</v>
      </c>
      <c r="BA167" s="5">
        <v>1379</v>
      </c>
    </row>
    <row r="168" ht="17" customHeight="1" spans="1:53">
      <c r="A168" s="31">
        <v>112</v>
      </c>
      <c r="B168" s="51" t="s">
        <v>209</v>
      </c>
      <c r="C168" s="31" t="s">
        <v>78</v>
      </c>
      <c r="D168" s="31"/>
      <c r="E168" s="31"/>
      <c r="F168" s="31"/>
      <c r="G168" s="189">
        <f>VLOOKUP(B:B,$AZ:$BA,2,0)</f>
        <v>2330</v>
      </c>
      <c r="H168" s="189">
        <f>G168*210000/381298.76</f>
        <v>1283.24571524964</v>
      </c>
      <c r="I168" s="189">
        <v>15440</v>
      </c>
      <c r="J168" s="44">
        <f t="shared" si="347"/>
        <v>3088</v>
      </c>
      <c r="K168" s="44">
        <f t="shared" si="348"/>
        <v>3088</v>
      </c>
      <c r="L168" s="44">
        <f t="shared" si="349"/>
        <v>0</v>
      </c>
      <c r="M168" s="44">
        <f t="shared" si="350"/>
        <v>0</v>
      </c>
      <c r="N168" s="44">
        <f t="shared" si="351"/>
        <v>0</v>
      </c>
      <c r="O168" s="44">
        <f t="shared" si="352"/>
        <v>0</v>
      </c>
      <c r="P168" s="44">
        <v>3589</v>
      </c>
      <c r="Q168" s="44">
        <v>744</v>
      </c>
      <c r="R168" s="44">
        <f t="shared" si="359"/>
        <v>297.6</v>
      </c>
      <c r="S168" s="44">
        <f>Q168*0.4</f>
        <v>297.6</v>
      </c>
      <c r="T168" s="44"/>
      <c r="U168" s="44"/>
      <c r="V168" s="44"/>
      <c r="W168" s="44">
        <f t="shared" si="360"/>
        <v>107.984855042184</v>
      </c>
      <c r="X168" s="76">
        <v>14345</v>
      </c>
      <c r="Y168" s="115">
        <f t="shared" si="361"/>
        <v>0</v>
      </c>
      <c r="Z168" s="44">
        <f t="shared" si="362"/>
        <v>0</v>
      </c>
      <c r="AA168" s="44"/>
      <c r="AB168" s="44"/>
      <c r="AC168" s="44"/>
      <c r="AD168" s="76"/>
      <c r="AE168" s="44">
        <f t="shared" si="363"/>
        <v>0</v>
      </c>
      <c r="AF168" s="44"/>
      <c r="AG168" s="44">
        <v>5</v>
      </c>
      <c r="AH168" s="44">
        <f>AG168/$AG$13*9347</f>
        <v>193.921161825726</v>
      </c>
      <c r="AI168" s="44"/>
      <c r="AJ168" s="115">
        <f>VLOOKUP(B:B,'表6资金使用成效（12月30日）'!B:L,11,0)</f>
        <v>0.930170085042521</v>
      </c>
      <c r="AK168" s="44">
        <f t="shared" si="364"/>
        <v>59.9230874048289</v>
      </c>
      <c r="AL168" s="76">
        <v>85.5</v>
      </c>
      <c r="AM168" s="44">
        <f t="shared" si="365"/>
        <v>56.7982306480598</v>
      </c>
      <c r="AN168" s="67">
        <f t="shared" si="366"/>
        <v>225</v>
      </c>
      <c r="AO168" s="67">
        <f t="shared" si="353"/>
        <v>-2105</v>
      </c>
      <c r="AP168" s="125">
        <f t="shared" si="288"/>
        <v>-0.90343347639485</v>
      </c>
      <c r="AQ168" s="44">
        <f t="shared" si="354"/>
        <v>-1058.24571524964</v>
      </c>
      <c r="AR168" s="198">
        <f t="shared" si="289"/>
        <v>-0.824663353770693</v>
      </c>
      <c r="AZ168" s="5" t="s">
        <v>231</v>
      </c>
      <c r="BA168" s="5">
        <v>3288</v>
      </c>
    </row>
    <row r="169" ht="17" customHeight="1" spans="1:44">
      <c r="A169" s="31">
        <v>113</v>
      </c>
      <c r="B169" s="51" t="s">
        <v>210</v>
      </c>
      <c r="C169" s="31" t="s">
        <v>93</v>
      </c>
      <c r="D169" s="31">
        <v>2020</v>
      </c>
      <c r="E169" s="31" t="s">
        <v>94</v>
      </c>
      <c r="F169" s="31"/>
      <c r="G169" s="189">
        <f>VLOOKUP(B:B,$AZ:$BA,2,0)</f>
        <v>2415</v>
      </c>
      <c r="H169" s="189">
        <f>G169*210000/381298.76</f>
        <v>1330.05940014072</v>
      </c>
      <c r="I169" s="189">
        <v>73853</v>
      </c>
      <c r="J169" s="44">
        <f t="shared" si="347"/>
        <v>73853</v>
      </c>
      <c r="K169" s="44">
        <f t="shared" si="348"/>
        <v>0</v>
      </c>
      <c r="L169" s="44">
        <f t="shared" si="349"/>
        <v>0</v>
      </c>
      <c r="M169" s="44">
        <f t="shared" si="350"/>
        <v>0</v>
      </c>
      <c r="N169" s="44">
        <f t="shared" si="351"/>
        <v>0</v>
      </c>
      <c r="O169" s="44">
        <f t="shared" si="352"/>
        <v>73853</v>
      </c>
      <c r="P169" s="44">
        <v>9328</v>
      </c>
      <c r="Q169" s="44">
        <v>20405</v>
      </c>
      <c r="R169" s="44">
        <f t="shared" si="359"/>
        <v>20405</v>
      </c>
      <c r="S169" s="44"/>
      <c r="T169" s="44"/>
      <c r="U169" s="44"/>
      <c r="V169" s="44">
        <f>Q169*1</f>
        <v>20405</v>
      </c>
      <c r="W169" s="44">
        <f t="shared" si="360"/>
        <v>1421.20092468708</v>
      </c>
      <c r="X169" s="76">
        <v>8972</v>
      </c>
      <c r="Y169" s="115">
        <f t="shared" si="361"/>
        <v>0.732261116367077</v>
      </c>
      <c r="Z169" s="44">
        <f t="shared" si="362"/>
        <v>1821.38794404275</v>
      </c>
      <c r="AA169" s="44"/>
      <c r="AB169" s="44"/>
      <c r="AC169" s="44"/>
      <c r="AD169" s="76">
        <f>J169</f>
        <v>73853</v>
      </c>
      <c r="AE169" s="44"/>
      <c r="AF169" s="44"/>
      <c r="AG169" s="44">
        <v>4</v>
      </c>
      <c r="AH169" s="44"/>
      <c r="AI169" s="44">
        <v>1000</v>
      </c>
      <c r="AJ169" s="115">
        <f>VLOOKUP(B:B,'表6资金使用成效（12月30日）'!B:L,11,0)</f>
        <v>0.851941871490045</v>
      </c>
      <c r="AK169" s="44">
        <f t="shared" si="364"/>
        <v>54.8834971690127</v>
      </c>
      <c r="AL169" s="76">
        <v>90.17</v>
      </c>
      <c r="AM169" s="44">
        <f t="shared" si="365"/>
        <v>59.9005433629889</v>
      </c>
      <c r="AN169" s="67">
        <f t="shared" si="366"/>
        <v>4357</v>
      </c>
      <c r="AO169" s="67">
        <f t="shared" si="353"/>
        <v>1942</v>
      </c>
      <c r="AP169" s="125">
        <f t="shared" si="288"/>
        <v>0.804140786749482</v>
      </c>
      <c r="AQ169" s="44">
        <f t="shared" si="354"/>
        <v>3026.94059985928</v>
      </c>
      <c r="AR169" s="198">
        <f t="shared" si="289"/>
        <v>2.27579354691905</v>
      </c>
    </row>
    <row r="170" ht="17" customHeight="1" spans="1:44">
      <c r="A170" s="31">
        <v>114</v>
      </c>
      <c r="B170" s="51" t="s">
        <v>207</v>
      </c>
      <c r="C170" s="31" t="s">
        <v>90</v>
      </c>
      <c r="D170" s="31">
        <v>2017</v>
      </c>
      <c r="E170" s="31"/>
      <c r="F170" s="31"/>
      <c r="G170" s="189">
        <f>VLOOKUP(B:B,$AZ:$BA,2,0)</f>
        <v>307</v>
      </c>
      <c r="H170" s="189">
        <f>G170*210000/381298.76</f>
        <v>169.080014841905</v>
      </c>
      <c r="I170" s="189">
        <v>14593</v>
      </c>
      <c r="J170" s="44">
        <f t="shared" si="347"/>
        <v>5837.2</v>
      </c>
      <c r="K170" s="44">
        <f t="shared" si="348"/>
        <v>0</v>
      </c>
      <c r="L170" s="44">
        <f t="shared" si="349"/>
        <v>5837.2</v>
      </c>
      <c r="M170" s="44">
        <f t="shared" si="350"/>
        <v>0</v>
      </c>
      <c r="N170" s="44">
        <f t="shared" si="351"/>
        <v>0</v>
      </c>
      <c r="O170" s="44">
        <f t="shared" si="352"/>
        <v>0</v>
      </c>
      <c r="P170" s="44">
        <v>2476</v>
      </c>
      <c r="Q170" s="44">
        <v>1015</v>
      </c>
      <c r="R170" s="44">
        <f t="shared" si="359"/>
        <v>609</v>
      </c>
      <c r="S170" s="44"/>
      <c r="T170" s="44">
        <f>Q170*0.6</f>
        <v>609</v>
      </c>
      <c r="U170" s="44"/>
      <c r="V170" s="44"/>
      <c r="W170" s="44">
        <f t="shared" si="360"/>
        <v>127.434484953581</v>
      </c>
      <c r="X170" s="76">
        <v>13413</v>
      </c>
      <c r="Y170" s="115">
        <f t="shared" si="361"/>
        <v>0</v>
      </c>
      <c r="Z170" s="44">
        <f t="shared" si="362"/>
        <v>0</v>
      </c>
      <c r="AA170" s="44"/>
      <c r="AB170" s="44"/>
      <c r="AC170" s="44"/>
      <c r="AD170" s="76"/>
      <c r="AE170" s="44">
        <f t="shared" si="363"/>
        <v>0</v>
      </c>
      <c r="AF170" s="44"/>
      <c r="AG170" s="44">
        <v>6</v>
      </c>
      <c r="AH170" s="44"/>
      <c r="AI170" s="44"/>
      <c r="AJ170" s="115">
        <f>VLOOKUP(B:B,'表6资金使用成效（12月30日）'!B:L,11,0)</f>
        <v>0.969694701147609</v>
      </c>
      <c r="AK170" s="44">
        <f t="shared" si="364"/>
        <v>62.4693282091644</v>
      </c>
      <c r="AL170" s="76">
        <v>88.44</v>
      </c>
      <c r="AM170" s="44">
        <f t="shared" si="365"/>
        <v>58.7512926142036</v>
      </c>
      <c r="AN170" s="67">
        <f t="shared" si="366"/>
        <v>249</v>
      </c>
      <c r="AO170" s="67">
        <f t="shared" si="353"/>
        <v>-58</v>
      </c>
      <c r="AP170" s="125">
        <f t="shared" si="288"/>
        <v>-0.188925081433225</v>
      </c>
      <c r="AQ170" s="44">
        <f t="shared" si="354"/>
        <v>79.919985158095</v>
      </c>
      <c r="AR170" s="198">
        <f t="shared" si="289"/>
        <v>0.472675527221964</v>
      </c>
    </row>
    <row r="171" s="6" customFormat="1" ht="17" customHeight="1" spans="1:75">
      <c r="A171" s="39"/>
      <c r="B171" s="40" t="s">
        <v>211</v>
      </c>
      <c r="C171" s="41">
        <v>1</v>
      </c>
      <c r="D171" s="41"/>
      <c r="E171" s="41"/>
      <c r="F171" s="41"/>
      <c r="G171" s="119">
        <f>G172+G173</f>
        <v>40553</v>
      </c>
      <c r="H171" s="119">
        <f>H172+H173</f>
        <v>22334.5336869178</v>
      </c>
      <c r="I171" s="119">
        <f t="shared" ref="I171:O171" si="367">I172+I173</f>
        <v>229768</v>
      </c>
      <c r="J171" s="43">
        <f t="shared" si="367"/>
        <v>226302.2</v>
      </c>
      <c r="K171" s="43">
        <f t="shared" si="367"/>
        <v>0</v>
      </c>
      <c r="L171" s="43">
        <f t="shared" si="367"/>
        <v>0</v>
      </c>
      <c r="M171" s="43">
        <f t="shared" si="367"/>
        <v>0</v>
      </c>
      <c r="N171" s="43">
        <f t="shared" si="367"/>
        <v>13863.2</v>
      </c>
      <c r="O171" s="43">
        <f t="shared" si="367"/>
        <v>212439</v>
      </c>
      <c r="P171" s="43">
        <v>35711</v>
      </c>
      <c r="Q171" s="43">
        <f t="shared" ref="Q171:W171" si="368">Q172+Q173</f>
        <v>95859</v>
      </c>
      <c r="R171" s="43">
        <f t="shared" si="368"/>
        <v>95035.2</v>
      </c>
      <c r="S171" s="43">
        <f t="shared" si="368"/>
        <v>0</v>
      </c>
      <c r="T171" s="43">
        <f t="shared" si="368"/>
        <v>0</v>
      </c>
      <c r="U171" s="43">
        <f t="shared" si="368"/>
        <v>3295.2</v>
      </c>
      <c r="V171" s="43">
        <f t="shared" si="368"/>
        <v>91740</v>
      </c>
      <c r="W171" s="43">
        <f t="shared" si="368"/>
        <v>5005.92183144279</v>
      </c>
      <c r="X171" s="77"/>
      <c r="Y171" s="118">
        <f t="shared" ref="Y171:AI171" si="369">Y172+Y173</f>
        <v>3.82913907284768</v>
      </c>
      <c r="Z171" s="43">
        <f t="shared" si="369"/>
        <v>9524.39995441685</v>
      </c>
      <c r="AA171" s="43">
        <v>79</v>
      </c>
      <c r="AB171" s="43">
        <f t="shared" si="369"/>
        <v>0</v>
      </c>
      <c r="AC171" s="43">
        <f t="shared" si="369"/>
        <v>0</v>
      </c>
      <c r="AD171" s="54">
        <f t="shared" si="369"/>
        <v>226302.2</v>
      </c>
      <c r="AE171" s="43">
        <f t="shared" si="369"/>
        <v>8500.42500557394</v>
      </c>
      <c r="AF171" s="119">
        <f t="shared" si="369"/>
        <v>0</v>
      </c>
      <c r="AG171" s="119">
        <f t="shared" si="369"/>
        <v>3</v>
      </c>
      <c r="AH171" s="119">
        <f t="shared" si="369"/>
        <v>0</v>
      </c>
      <c r="AI171" s="43">
        <f t="shared" si="369"/>
        <v>0</v>
      </c>
      <c r="AJ171" s="118"/>
      <c r="AK171" s="43">
        <f t="shared" ref="AK171:AO171" si="370">AK172+AK173</f>
        <v>249.510684265208</v>
      </c>
      <c r="AL171" s="54">
        <f t="shared" si="370"/>
        <v>358.79</v>
      </c>
      <c r="AM171" s="43">
        <f t="shared" si="370"/>
        <v>238.346633616578</v>
      </c>
      <c r="AN171" s="119">
        <f t="shared" si="370"/>
        <v>23517</v>
      </c>
      <c r="AO171" s="119">
        <f t="shared" si="370"/>
        <v>-17036</v>
      </c>
      <c r="AP171" s="125">
        <f t="shared" si="288"/>
        <v>-0.42009222498952</v>
      </c>
      <c r="AQ171" s="118">
        <f>AQ172+AQ173</f>
        <v>1182.46631308216</v>
      </c>
      <c r="AR171" s="198">
        <f t="shared" si="289"/>
        <v>0.0529434072659765</v>
      </c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</row>
    <row r="172" ht="17" customHeight="1" spans="1:44">
      <c r="A172" s="29"/>
      <c r="B172" s="30" t="s">
        <v>212</v>
      </c>
      <c r="C172" s="31">
        <v>2</v>
      </c>
      <c r="D172" s="31"/>
      <c r="E172" s="31"/>
      <c r="F172" s="31"/>
      <c r="G172" s="189"/>
      <c r="H172" s="189"/>
      <c r="I172" s="189"/>
      <c r="J172" s="44">
        <f t="shared" ref="J172:J177" si="371">SUM(K172:O172)</f>
        <v>0</v>
      </c>
      <c r="K172" s="44">
        <f t="shared" ref="K172:K177" si="372">IF(D172="",I172*0.2,0)</f>
        <v>0</v>
      </c>
      <c r="L172" s="44">
        <f t="shared" ref="L172:L177" si="373">IF(D172=2017,I172*0.4,0)</f>
        <v>0</v>
      </c>
      <c r="M172" s="44">
        <f t="shared" ref="M172:M177" si="374">IF(D172=2018,I172*0.6,0)</f>
        <v>0</v>
      </c>
      <c r="N172" s="44">
        <f t="shared" ref="N172:N177" si="375">IF(D172=2019,I172*0.8,0)</f>
        <v>0</v>
      </c>
      <c r="O172" s="44">
        <f t="shared" ref="O172:O177" si="376">IF(D172=2020,I172*1,0)</f>
        <v>0</v>
      </c>
      <c r="P172" s="44"/>
      <c r="Q172" s="44"/>
      <c r="R172" s="44">
        <f>N172*0.4+O172*0.6+P172*0.8+Q172*1</f>
        <v>0</v>
      </c>
      <c r="S172" s="44">
        <f>Q172-T172-U172-V172</f>
        <v>0</v>
      </c>
      <c r="T172" s="44"/>
      <c r="U172" s="44"/>
      <c r="V172" s="44"/>
      <c r="W172" s="44"/>
      <c r="X172" s="76"/>
      <c r="Y172" s="115"/>
      <c r="Z172" s="44"/>
      <c r="AA172" s="44"/>
      <c r="AB172" s="44"/>
      <c r="AC172" s="44"/>
      <c r="AD172" s="76"/>
      <c r="AE172" s="44"/>
      <c r="AF172" s="44"/>
      <c r="AG172" s="44"/>
      <c r="AH172" s="44"/>
      <c r="AI172" s="44"/>
      <c r="AJ172" s="115"/>
      <c r="AK172" s="44">
        <f>AJ172/$AJ$9*0.05*200000</f>
        <v>0</v>
      </c>
      <c r="AL172" s="76"/>
      <c r="AM172" s="44">
        <f>(AL172/$AL$9)*0.05*200000</f>
        <v>0</v>
      </c>
      <c r="AN172" s="67">
        <f>ROUND(AM172+AK172+AE172+AC172+Z172+W172,0)</f>
        <v>0</v>
      </c>
      <c r="AO172" s="67">
        <f t="shared" ref="AO172:AO177" si="377">AN172-G172</f>
        <v>0</v>
      </c>
      <c r="AP172" s="125"/>
      <c r="AQ172" s="115">
        <f t="shared" ref="AQ172:AQ177" si="378">AN172-H172</f>
        <v>0</v>
      </c>
      <c r="AR172" s="198"/>
    </row>
    <row r="173" s="7" customFormat="1" ht="17" customHeight="1" spans="1:75">
      <c r="A173" s="45"/>
      <c r="B173" s="46" t="s">
        <v>76</v>
      </c>
      <c r="C173" s="47">
        <v>3</v>
      </c>
      <c r="D173" s="47"/>
      <c r="E173" s="47"/>
      <c r="F173" s="47"/>
      <c r="G173" s="121">
        <f>SUM(G174:G177)</f>
        <v>40553</v>
      </c>
      <c r="H173" s="121">
        <f>SUM(H174:H177)</f>
        <v>22334.5336869178</v>
      </c>
      <c r="I173" s="121">
        <f t="shared" ref="I173:O173" si="379">SUM(I174:I177)</f>
        <v>229768</v>
      </c>
      <c r="J173" s="49">
        <f t="shared" si="379"/>
        <v>226302.2</v>
      </c>
      <c r="K173" s="49">
        <f t="shared" si="379"/>
        <v>0</v>
      </c>
      <c r="L173" s="49">
        <f t="shared" si="379"/>
        <v>0</v>
      </c>
      <c r="M173" s="49">
        <f t="shared" si="379"/>
        <v>0</v>
      </c>
      <c r="N173" s="49">
        <f t="shared" si="379"/>
        <v>13863.2</v>
      </c>
      <c r="O173" s="49">
        <f t="shared" si="379"/>
        <v>212439</v>
      </c>
      <c r="P173" s="49">
        <v>35711</v>
      </c>
      <c r="Q173" s="49">
        <f t="shared" ref="Q173:W173" si="380">SUM(Q174:Q177)</f>
        <v>95859</v>
      </c>
      <c r="R173" s="49">
        <f t="shared" si="380"/>
        <v>95035.2</v>
      </c>
      <c r="S173" s="49">
        <f t="shared" si="380"/>
        <v>0</v>
      </c>
      <c r="T173" s="49">
        <f t="shared" si="380"/>
        <v>0</v>
      </c>
      <c r="U173" s="49">
        <f t="shared" si="380"/>
        <v>3295.2</v>
      </c>
      <c r="V173" s="49">
        <f t="shared" si="380"/>
        <v>91740</v>
      </c>
      <c r="W173" s="49">
        <f t="shared" si="380"/>
        <v>5005.92183144279</v>
      </c>
      <c r="X173" s="78"/>
      <c r="Y173" s="120">
        <f t="shared" ref="Y173:AI173" si="381">SUM(Y174:Y177)</f>
        <v>3.82913907284768</v>
      </c>
      <c r="Z173" s="49">
        <f t="shared" si="381"/>
        <v>9524.39995441685</v>
      </c>
      <c r="AA173" s="49">
        <v>79</v>
      </c>
      <c r="AB173" s="49">
        <f t="shared" si="381"/>
        <v>0</v>
      </c>
      <c r="AC173" s="49">
        <f t="shared" si="381"/>
        <v>0</v>
      </c>
      <c r="AD173" s="55">
        <f t="shared" si="381"/>
        <v>226302.2</v>
      </c>
      <c r="AE173" s="49">
        <f t="shared" si="381"/>
        <v>8500.42500557394</v>
      </c>
      <c r="AF173" s="121">
        <f t="shared" si="381"/>
        <v>0</v>
      </c>
      <c r="AG173" s="121">
        <f t="shared" si="381"/>
        <v>3</v>
      </c>
      <c r="AH173" s="121">
        <f t="shared" si="381"/>
        <v>0</v>
      </c>
      <c r="AI173" s="49">
        <f t="shared" si="381"/>
        <v>0</v>
      </c>
      <c r="AJ173" s="120"/>
      <c r="AK173" s="49">
        <f t="shared" ref="AK173:AO173" si="382">SUM(AK174:AK177)</f>
        <v>249.510684265208</v>
      </c>
      <c r="AL173" s="135">
        <f t="shared" si="382"/>
        <v>358.79</v>
      </c>
      <c r="AM173" s="49">
        <f t="shared" si="382"/>
        <v>238.346633616578</v>
      </c>
      <c r="AN173" s="121">
        <f t="shared" si="382"/>
        <v>23517</v>
      </c>
      <c r="AO173" s="121">
        <f t="shared" si="382"/>
        <v>-17036</v>
      </c>
      <c r="AP173" s="125">
        <f t="shared" si="288"/>
        <v>-0.42009222498952</v>
      </c>
      <c r="AQ173" s="120">
        <f>SUM(AQ174:AQ177)</f>
        <v>1182.46631308216</v>
      </c>
      <c r="AR173" s="198">
        <f t="shared" si="289"/>
        <v>0.0529434072659765</v>
      </c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</row>
    <row r="174" ht="17" customHeight="1" spans="1:44">
      <c r="A174" s="31">
        <v>115</v>
      </c>
      <c r="B174" s="51" t="s">
        <v>216</v>
      </c>
      <c r="C174" s="31" t="s">
        <v>93</v>
      </c>
      <c r="D174" s="31">
        <v>2020</v>
      </c>
      <c r="E174" s="31" t="s">
        <v>94</v>
      </c>
      <c r="F174" s="31"/>
      <c r="G174" s="189">
        <f>VLOOKUP(B:B,$AZ:$BA,2,0)</f>
        <v>5900</v>
      </c>
      <c r="H174" s="189">
        <f>G174*210000/381298.76</f>
        <v>3249.42048067505</v>
      </c>
      <c r="I174" s="189">
        <v>88228</v>
      </c>
      <c r="J174" s="44">
        <f t="shared" si="371"/>
        <v>88228</v>
      </c>
      <c r="K174" s="44">
        <f t="shared" si="372"/>
        <v>0</v>
      </c>
      <c r="L174" s="44">
        <f t="shared" si="373"/>
        <v>0</v>
      </c>
      <c r="M174" s="44">
        <f t="shared" si="374"/>
        <v>0</v>
      </c>
      <c r="N174" s="44">
        <f t="shared" si="375"/>
        <v>0</v>
      </c>
      <c r="O174" s="44">
        <f t="shared" si="376"/>
        <v>88228</v>
      </c>
      <c r="P174" s="44">
        <v>13706</v>
      </c>
      <c r="Q174" s="44">
        <v>39927</v>
      </c>
      <c r="R174" s="44">
        <f t="shared" ref="R174:R177" si="383">S174+T174+U174+V174</f>
        <v>39927</v>
      </c>
      <c r="S174" s="44"/>
      <c r="T174" s="44"/>
      <c r="U174" s="44"/>
      <c r="V174" s="44">
        <f t="shared" ref="V174:V177" si="384">Q174*1</f>
        <v>39927</v>
      </c>
      <c r="W174" s="44">
        <f t="shared" ref="W174:W177" si="385">(J174/$J$9*0.2+P174/$P$9*0.05+R174/$R$9*0.05)*299423</f>
        <v>1994.01457229046</v>
      </c>
      <c r="X174" s="76">
        <v>7920</v>
      </c>
      <c r="Y174" s="115">
        <f t="shared" ref="Y174:Y177" si="386">IF(X174&lt;12842,(12842-X174)/(12842-$X$175),0)</f>
        <v>0.931315042573321</v>
      </c>
      <c r="Z174" s="44">
        <f t="shared" ref="Z174:Z177" si="387">(Y174/$Y$9*0.15)*299423</f>
        <v>2316.50425337944</v>
      </c>
      <c r="AA174" s="44"/>
      <c r="AB174" s="44"/>
      <c r="AC174" s="44"/>
      <c r="AD174" s="76">
        <f t="shared" ref="AD174:AD177" si="388">J174</f>
        <v>88228</v>
      </c>
      <c r="AE174" s="44"/>
      <c r="AF174" s="44"/>
      <c r="AG174" s="44">
        <v>3</v>
      </c>
      <c r="AH174" s="44"/>
      <c r="AI174" s="44"/>
      <c r="AJ174" s="115">
        <f>VLOOKUP(B:B,'表6资金使用成效（12月30日）'!B:L,11,0)</f>
        <v>0.959656290413654</v>
      </c>
      <c r="AK174" s="44">
        <f t="shared" ref="AK174:AK177" si="389">AJ174/$AJ$9*0.025*299423</f>
        <v>61.8226372722173</v>
      </c>
      <c r="AL174" s="76">
        <v>92.05</v>
      </c>
      <c r="AM174" s="44">
        <f t="shared" ref="AM174:AM177" si="390">(AL174/$AL$9)*0.025*299423</f>
        <v>61.149440130455</v>
      </c>
      <c r="AN174" s="67">
        <f t="shared" ref="AN174:AN177" si="391">ROUND(AM174+AK174+AE174+AC174+Z174+W174+AI174+AF174,0)</f>
        <v>4433</v>
      </c>
      <c r="AO174" s="67">
        <f t="shared" si="377"/>
        <v>-1467</v>
      </c>
      <c r="AP174" s="125">
        <f t="shared" si="288"/>
        <v>-0.24864406779661</v>
      </c>
      <c r="AQ174" s="44">
        <f t="shared" si="378"/>
        <v>1183.57951932495</v>
      </c>
      <c r="AR174" s="198">
        <f t="shared" si="289"/>
        <v>0.364243263179983</v>
      </c>
    </row>
    <row r="175" ht="17" customHeight="1" spans="1:44">
      <c r="A175" s="31">
        <v>116</v>
      </c>
      <c r="B175" s="51" t="s">
        <v>214</v>
      </c>
      <c r="C175" s="31" t="s">
        <v>93</v>
      </c>
      <c r="D175" s="31">
        <v>2020</v>
      </c>
      <c r="E175" s="31" t="s">
        <v>94</v>
      </c>
      <c r="F175" s="31" t="s">
        <v>146</v>
      </c>
      <c r="G175" s="189">
        <f>VLOOKUP(B:B,$AZ:$BA,2,0)</f>
        <v>10143</v>
      </c>
      <c r="H175" s="189">
        <f>G175*210000/381298.76</f>
        <v>5586.24948059102</v>
      </c>
      <c r="I175" s="189">
        <v>61052</v>
      </c>
      <c r="J175" s="44">
        <f t="shared" si="371"/>
        <v>61052</v>
      </c>
      <c r="K175" s="44">
        <f t="shared" si="372"/>
        <v>0</v>
      </c>
      <c r="L175" s="44">
        <f t="shared" si="373"/>
        <v>0</v>
      </c>
      <c r="M175" s="44">
        <f t="shared" si="374"/>
        <v>0</v>
      </c>
      <c r="N175" s="44">
        <f t="shared" si="375"/>
        <v>0</v>
      </c>
      <c r="O175" s="44">
        <f t="shared" si="376"/>
        <v>61052</v>
      </c>
      <c r="P175" s="44">
        <v>9878</v>
      </c>
      <c r="Q175" s="44">
        <v>22500</v>
      </c>
      <c r="R175" s="44">
        <f t="shared" si="383"/>
        <v>22500</v>
      </c>
      <c r="S175" s="44"/>
      <c r="T175" s="44"/>
      <c r="U175" s="44"/>
      <c r="V175" s="44">
        <f t="shared" si="384"/>
        <v>22500</v>
      </c>
      <c r="W175" s="44">
        <f t="shared" si="385"/>
        <v>1304.39831843198</v>
      </c>
      <c r="X175" s="76">
        <v>7557</v>
      </c>
      <c r="Y175" s="115">
        <f t="shared" si="386"/>
        <v>1</v>
      </c>
      <c r="Z175" s="44">
        <f t="shared" si="387"/>
        <v>2487.34761867337</v>
      </c>
      <c r="AA175" s="44">
        <v>29</v>
      </c>
      <c r="AB175" s="44"/>
      <c r="AC175" s="44"/>
      <c r="AD175" s="76">
        <f t="shared" si="388"/>
        <v>61052</v>
      </c>
      <c r="AE175" s="44">
        <f>H175-W175-Z175-AC175-AK175-AM175</f>
        <v>1673.14864121709</v>
      </c>
      <c r="AF175" s="44"/>
      <c r="AG175" s="44"/>
      <c r="AH175" s="44"/>
      <c r="AI175" s="44"/>
      <c r="AJ175" s="115">
        <f>VLOOKUP(B:B,'表6资金使用成效（12月30日）'!B:L,11,0)</f>
        <v>0.980853550269056</v>
      </c>
      <c r="AK175" s="44">
        <f t="shared" si="389"/>
        <v>63.1881996306327</v>
      </c>
      <c r="AL175" s="76">
        <v>87.56</v>
      </c>
      <c r="AM175" s="44">
        <f t="shared" si="390"/>
        <v>58.1667026379429</v>
      </c>
      <c r="AN175" s="67">
        <f t="shared" si="391"/>
        <v>5586</v>
      </c>
      <c r="AO175" s="67">
        <f t="shared" si="377"/>
        <v>-4557</v>
      </c>
      <c r="AP175" s="125">
        <f t="shared" si="288"/>
        <v>-0.449275362318841</v>
      </c>
      <c r="AQ175" s="44">
        <f t="shared" si="378"/>
        <v>-0.249480591020074</v>
      </c>
      <c r="AR175" s="198">
        <f t="shared" si="289"/>
        <v>-4.46597653554275e-5</v>
      </c>
    </row>
    <row r="176" ht="17" customHeight="1" spans="1:44">
      <c r="A176" s="31">
        <v>117</v>
      </c>
      <c r="B176" s="51" t="s">
        <v>215</v>
      </c>
      <c r="C176" s="31" t="s">
        <v>93</v>
      </c>
      <c r="D176" s="31">
        <v>2019</v>
      </c>
      <c r="E176" s="31" t="s">
        <v>94</v>
      </c>
      <c r="F176" s="31" t="s">
        <v>146</v>
      </c>
      <c r="G176" s="189">
        <f>VLOOKUP(B:B,$AZ:$BA,2,0)</f>
        <v>6688</v>
      </c>
      <c r="H176" s="189">
        <f>G176*210000/381298.76</f>
        <v>3683.41087707707</v>
      </c>
      <c r="I176" s="189">
        <v>17329</v>
      </c>
      <c r="J176" s="44">
        <f t="shared" si="371"/>
        <v>13863.2</v>
      </c>
      <c r="K176" s="44">
        <f t="shared" si="372"/>
        <v>0</v>
      </c>
      <c r="L176" s="44">
        <f t="shared" si="373"/>
        <v>0</v>
      </c>
      <c r="M176" s="44">
        <f t="shared" si="374"/>
        <v>0</v>
      </c>
      <c r="N176" s="44">
        <f t="shared" si="375"/>
        <v>13863.2</v>
      </c>
      <c r="O176" s="44">
        <f t="shared" si="376"/>
        <v>0</v>
      </c>
      <c r="P176" s="44">
        <v>2329</v>
      </c>
      <c r="Q176" s="44">
        <v>4119</v>
      </c>
      <c r="R176" s="44">
        <f t="shared" si="383"/>
        <v>3295.2</v>
      </c>
      <c r="S176" s="44"/>
      <c r="T176" s="44"/>
      <c r="U176" s="44">
        <f>Q176*0.8</f>
        <v>3295.2</v>
      </c>
      <c r="V176" s="44"/>
      <c r="W176" s="44">
        <f t="shared" si="385"/>
        <v>268.560340902053</v>
      </c>
      <c r="X176" s="76">
        <v>7681</v>
      </c>
      <c r="Y176" s="115">
        <f t="shared" si="386"/>
        <v>0.976537369914853</v>
      </c>
      <c r="Z176" s="44">
        <f t="shared" si="387"/>
        <v>2428.98790160327</v>
      </c>
      <c r="AA176" s="44">
        <v>13</v>
      </c>
      <c r="AB176" s="44"/>
      <c r="AC176" s="44"/>
      <c r="AD176" s="76">
        <f t="shared" si="388"/>
        <v>13863.2</v>
      </c>
      <c r="AE176" s="44">
        <f>H176-W176-Z176-AC176-AK176-AM176</f>
        <v>865.35940948659</v>
      </c>
      <c r="AF176" s="44"/>
      <c r="AG176" s="44"/>
      <c r="AH176" s="44"/>
      <c r="AI176" s="44"/>
      <c r="AJ176" s="115">
        <f>VLOOKUP(B:B,'表6资金使用成效（12月30日）'!B:L,11,0)</f>
        <v>0.961755434313448</v>
      </c>
      <c r="AK176" s="44">
        <f t="shared" si="389"/>
        <v>61.9578675762287</v>
      </c>
      <c r="AL176" s="76">
        <v>88.13</v>
      </c>
      <c r="AM176" s="44">
        <f t="shared" si="390"/>
        <v>58.54535750893</v>
      </c>
      <c r="AN176" s="67">
        <f t="shared" si="391"/>
        <v>3683</v>
      </c>
      <c r="AO176" s="67">
        <f t="shared" si="377"/>
        <v>-3005</v>
      </c>
      <c r="AP176" s="125">
        <f t="shared" si="288"/>
        <v>-0.449312200956938</v>
      </c>
      <c r="AQ176" s="44">
        <f t="shared" si="378"/>
        <v>-0.410877077069927</v>
      </c>
      <c r="AR176" s="198">
        <f t="shared" si="289"/>
        <v>-0.000111547989290832</v>
      </c>
    </row>
    <row r="177" ht="17" customHeight="1" spans="1:44">
      <c r="A177" s="31">
        <v>118</v>
      </c>
      <c r="B177" s="51" t="s">
        <v>213</v>
      </c>
      <c r="C177" s="31" t="s">
        <v>93</v>
      </c>
      <c r="D177" s="31">
        <v>2020</v>
      </c>
      <c r="E177" s="31" t="s">
        <v>94</v>
      </c>
      <c r="F177" s="31" t="s">
        <v>146</v>
      </c>
      <c r="G177" s="189">
        <f>VLOOKUP(B:B,$AZ:$BA,2,0)</f>
        <v>17822</v>
      </c>
      <c r="H177" s="189">
        <f>G177*210000/381298.76</f>
        <v>9815.4528485747</v>
      </c>
      <c r="I177" s="189">
        <v>63159</v>
      </c>
      <c r="J177" s="44">
        <f t="shared" si="371"/>
        <v>63159</v>
      </c>
      <c r="K177" s="44">
        <f t="shared" si="372"/>
        <v>0</v>
      </c>
      <c r="L177" s="44">
        <f t="shared" si="373"/>
        <v>0</v>
      </c>
      <c r="M177" s="44">
        <f t="shared" si="374"/>
        <v>0</v>
      </c>
      <c r="N177" s="44">
        <f t="shared" si="375"/>
        <v>0</v>
      </c>
      <c r="O177" s="44">
        <f t="shared" si="376"/>
        <v>63159</v>
      </c>
      <c r="P177" s="44">
        <v>9798</v>
      </c>
      <c r="Q177" s="44">
        <v>29313</v>
      </c>
      <c r="R177" s="44">
        <f t="shared" si="383"/>
        <v>29313</v>
      </c>
      <c r="S177" s="44"/>
      <c r="T177" s="44"/>
      <c r="U177" s="44"/>
      <c r="V177" s="44">
        <f t="shared" si="384"/>
        <v>29313</v>
      </c>
      <c r="W177" s="44">
        <f t="shared" si="385"/>
        <v>1438.94859981829</v>
      </c>
      <c r="X177" s="76">
        <v>7973</v>
      </c>
      <c r="Y177" s="115">
        <f t="shared" si="386"/>
        <v>0.921286660359508</v>
      </c>
      <c r="Z177" s="44">
        <f t="shared" si="387"/>
        <v>2291.56018076077</v>
      </c>
      <c r="AA177" s="44">
        <v>37</v>
      </c>
      <c r="AB177" s="44"/>
      <c r="AC177" s="44"/>
      <c r="AD177" s="76">
        <f t="shared" si="388"/>
        <v>63159</v>
      </c>
      <c r="AE177" s="44">
        <f>H177-W177-Z177-AC177-AK177-AM177</f>
        <v>5961.91695487026</v>
      </c>
      <c r="AF177" s="44"/>
      <c r="AG177" s="44"/>
      <c r="AH177" s="44"/>
      <c r="AI177" s="44"/>
      <c r="AJ177" s="115">
        <f>VLOOKUP(B:B,'表6资金使用成效（12月30日）'!B:L,11,0)</f>
        <v>0.970822452177319</v>
      </c>
      <c r="AK177" s="44">
        <f t="shared" si="389"/>
        <v>62.5419797861296</v>
      </c>
      <c r="AL177" s="76">
        <v>91.05</v>
      </c>
      <c r="AM177" s="44">
        <f t="shared" si="390"/>
        <v>60.4851333392497</v>
      </c>
      <c r="AN177" s="67">
        <f t="shared" si="391"/>
        <v>9815</v>
      </c>
      <c r="AO177" s="67">
        <f t="shared" si="377"/>
        <v>-8007</v>
      </c>
      <c r="AP177" s="125">
        <f t="shared" si="288"/>
        <v>-0.44927617551341</v>
      </c>
      <c r="AQ177" s="44">
        <f t="shared" si="378"/>
        <v>-0.452848574699601</v>
      </c>
      <c r="AR177" s="198">
        <f t="shared" si="289"/>
        <v>-4.61362895513638e-5</v>
      </c>
    </row>
    <row r="178" s="6" customFormat="1" ht="17" customHeight="1" spans="1:75">
      <c r="A178" s="39"/>
      <c r="B178" s="40" t="s">
        <v>217</v>
      </c>
      <c r="C178" s="41">
        <v>1</v>
      </c>
      <c r="D178" s="41"/>
      <c r="E178" s="41"/>
      <c r="F178" s="41"/>
      <c r="G178" s="119">
        <f>G179+G180</f>
        <v>23825</v>
      </c>
      <c r="H178" s="119">
        <f>H179+H180</f>
        <v>13121.6005003531</v>
      </c>
      <c r="I178" s="119">
        <f t="shared" ref="I178:O178" si="392">I179+I180</f>
        <v>68762</v>
      </c>
      <c r="J178" s="43">
        <f t="shared" si="392"/>
        <v>49317.6</v>
      </c>
      <c r="K178" s="43">
        <f t="shared" si="392"/>
        <v>0</v>
      </c>
      <c r="L178" s="43">
        <f t="shared" si="392"/>
        <v>0</v>
      </c>
      <c r="M178" s="43">
        <f t="shared" si="392"/>
        <v>17076</v>
      </c>
      <c r="N178" s="43">
        <f t="shared" si="392"/>
        <v>32241.6</v>
      </c>
      <c r="O178" s="43">
        <f t="shared" si="392"/>
        <v>0</v>
      </c>
      <c r="P178" s="43">
        <v>7003</v>
      </c>
      <c r="Q178" s="43">
        <f t="shared" ref="Q178:W178" si="393">Q179+Q180</f>
        <v>10729</v>
      </c>
      <c r="R178" s="43">
        <f t="shared" si="393"/>
        <v>8119</v>
      </c>
      <c r="S178" s="43">
        <f t="shared" si="393"/>
        <v>0</v>
      </c>
      <c r="T178" s="43">
        <f t="shared" si="393"/>
        <v>1392.6</v>
      </c>
      <c r="U178" s="43">
        <f t="shared" si="393"/>
        <v>6726.4</v>
      </c>
      <c r="V178" s="43">
        <f t="shared" si="393"/>
        <v>0</v>
      </c>
      <c r="W178" s="43">
        <f t="shared" si="393"/>
        <v>874.378306914119</v>
      </c>
      <c r="X178" s="77"/>
      <c r="Y178" s="118">
        <f t="shared" ref="Y178:AI178" si="394">Y179+Y180</f>
        <v>1.56404919583728</v>
      </c>
      <c r="Z178" s="43">
        <f t="shared" si="394"/>
        <v>3890.33404275385</v>
      </c>
      <c r="AA178" s="43">
        <v>0</v>
      </c>
      <c r="AB178" s="43">
        <f t="shared" si="394"/>
        <v>0</v>
      </c>
      <c r="AC178" s="43">
        <f t="shared" si="394"/>
        <v>0</v>
      </c>
      <c r="AD178" s="54">
        <f t="shared" si="394"/>
        <v>49317.6</v>
      </c>
      <c r="AE178" s="43">
        <f t="shared" si="394"/>
        <v>7999.23907941751</v>
      </c>
      <c r="AF178" s="119">
        <f t="shared" si="394"/>
        <v>0</v>
      </c>
      <c r="AG178" s="119">
        <f t="shared" si="394"/>
        <v>10</v>
      </c>
      <c r="AH178" s="119">
        <f t="shared" si="394"/>
        <v>0</v>
      </c>
      <c r="AI178" s="43">
        <f t="shared" si="394"/>
        <v>0</v>
      </c>
      <c r="AJ178" s="118"/>
      <c r="AK178" s="43">
        <f t="shared" ref="AK178:AO178" si="395">AK179+AK180</f>
        <v>185.121954523627</v>
      </c>
      <c r="AL178" s="54">
        <f t="shared" si="395"/>
        <v>259.71</v>
      </c>
      <c r="AM178" s="43">
        <f t="shared" si="395"/>
        <v>172.527116743949</v>
      </c>
      <c r="AN178" s="119">
        <f t="shared" si="395"/>
        <v>13122</v>
      </c>
      <c r="AO178" s="119">
        <f t="shared" si="395"/>
        <v>-10703</v>
      </c>
      <c r="AP178" s="125">
        <f t="shared" si="288"/>
        <v>-0.449233997901364</v>
      </c>
      <c r="AQ178" s="118">
        <f>AQ179+AQ180</f>
        <v>0.399499646940512</v>
      </c>
      <c r="AR178" s="198">
        <f t="shared" si="289"/>
        <v>3.04459541295867e-5</v>
      </c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</row>
    <row r="179" ht="17" customHeight="1" spans="1:44">
      <c r="A179" s="29"/>
      <c r="B179" s="30" t="s">
        <v>218</v>
      </c>
      <c r="C179" s="31">
        <v>2</v>
      </c>
      <c r="D179" s="31"/>
      <c r="E179" s="31"/>
      <c r="F179" s="31"/>
      <c r="G179" s="189"/>
      <c r="H179" s="189"/>
      <c r="I179" s="189"/>
      <c r="J179" s="44">
        <f t="shared" ref="J179:J183" si="396">SUM(K179:O179)</f>
        <v>0</v>
      </c>
      <c r="K179" s="44">
        <f t="shared" ref="K179:K183" si="397">IF(D179="",I179*0.2,0)</f>
        <v>0</v>
      </c>
      <c r="L179" s="44">
        <f t="shared" ref="L179:L183" si="398">IF(D179=2017,I179*0.4,0)</f>
        <v>0</v>
      </c>
      <c r="M179" s="44">
        <f t="shared" ref="M179:M183" si="399">IF(D179=2018,I179*0.6,0)</f>
        <v>0</v>
      </c>
      <c r="N179" s="44">
        <f t="shared" ref="N179:N183" si="400">IF(D179=2019,I179*0.8,0)</f>
        <v>0</v>
      </c>
      <c r="O179" s="44">
        <f t="shared" ref="O179:O183" si="401">IF(D179=2020,I179*1,0)</f>
        <v>0</v>
      </c>
      <c r="P179" s="44"/>
      <c r="Q179" s="44"/>
      <c r="R179" s="44">
        <f>N179*0.4+O179*0.6+P179*0.8+Q179*1</f>
        <v>0</v>
      </c>
      <c r="S179" s="44">
        <f>Q179-T179-U179-V179</f>
        <v>0</v>
      </c>
      <c r="T179" s="44"/>
      <c r="U179" s="44"/>
      <c r="V179" s="44"/>
      <c r="W179" s="44"/>
      <c r="X179" s="76"/>
      <c r="Y179" s="115"/>
      <c r="Z179" s="44"/>
      <c r="AA179" s="44"/>
      <c r="AB179" s="44"/>
      <c r="AC179" s="44"/>
      <c r="AD179" s="76"/>
      <c r="AE179" s="44"/>
      <c r="AF179" s="44"/>
      <c r="AG179" s="44"/>
      <c r="AH179" s="44"/>
      <c r="AI179" s="44"/>
      <c r="AJ179" s="115"/>
      <c r="AK179" s="44">
        <f>AJ179/$AJ$9*0.05*200000</f>
        <v>0</v>
      </c>
      <c r="AL179" s="76"/>
      <c r="AM179" s="44">
        <f>(AL179/$AL$9)*0.05*200000</f>
        <v>0</v>
      </c>
      <c r="AN179" s="67">
        <f>ROUND(AM179+AK179+AE179+AC179+Z179+W179,0)</f>
        <v>0</v>
      </c>
      <c r="AO179" s="67">
        <f t="shared" ref="AO179:AO183" si="402">AN179-G179</f>
        <v>0</v>
      </c>
      <c r="AP179" s="125"/>
      <c r="AQ179" s="115">
        <f t="shared" ref="AQ179:AQ183" si="403">AN179-H179</f>
        <v>0</v>
      </c>
      <c r="AR179" s="198"/>
    </row>
    <row r="180" s="7" customFormat="1" ht="17" customHeight="1" spans="1:75">
      <c r="A180" s="45"/>
      <c r="B180" s="46" t="s">
        <v>76</v>
      </c>
      <c r="C180" s="47">
        <v>3</v>
      </c>
      <c r="D180" s="47"/>
      <c r="E180" s="47"/>
      <c r="F180" s="47"/>
      <c r="G180" s="121">
        <f>SUM(G181:G183)</f>
        <v>23825</v>
      </c>
      <c r="H180" s="121">
        <f>SUM(H181:H183)</f>
        <v>13121.6005003531</v>
      </c>
      <c r="I180" s="121">
        <f t="shared" ref="I180:O180" si="404">SUM(I181:I183)</f>
        <v>68762</v>
      </c>
      <c r="J180" s="49">
        <f t="shared" si="404"/>
        <v>49317.6</v>
      </c>
      <c r="K180" s="49">
        <f t="shared" si="404"/>
        <v>0</v>
      </c>
      <c r="L180" s="49">
        <f t="shared" si="404"/>
        <v>0</v>
      </c>
      <c r="M180" s="49">
        <f t="shared" si="404"/>
        <v>17076</v>
      </c>
      <c r="N180" s="49">
        <f t="shared" si="404"/>
        <v>32241.6</v>
      </c>
      <c r="O180" s="49">
        <f t="shared" si="404"/>
        <v>0</v>
      </c>
      <c r="P180" s="49">
        <v>7003</v>
      </c>
      <c r="Q180" s="49">
        <f t="shared" ref="Q180:W180" si="405">SUM(Q181:Q183)</f>
        <v>10729</v>
      </c>
      <c r="R180" s="49">
        <f t="shared" si="405"/>
        <v>8119</v>
      </c>
      <c r="S180" s="49">
        <f t="shared" si="405"/>
        <v>0</v>
      </c>
      <c r="T180" s="49">
        <f t="shared" si="405"/>
        <v>1392.6</v>
      </c>
      <c r="U180" s="49">
        <f t="shared" si="405"/>
        <v>6726.4</v>
      </c>
      <c r="V180" s="49">
        <f t="shared" si="405"/>
        <v>0</v>
      </c>
      <c r="W180" s="49">
        <f t="shared" si="405"/>
        <v>874.378306914119</v>
      </c>
      <c r="X180" s="78"/>
      <c r="Y180" s="120">
        <f t="shared" ref="Y180:AI180" si="406">SUM(Y181:Y183)</f>
        <v>1.56404919583728</v>
      </c>
      <c r="Z180" s="49">
        <f t="shared" si="406"/>
        <v>3890.33404275385</v>
      </c>
      <c r="AA180" s="49">
        <v>0</v>
      </c>
      <c r="AB180" s="49">
        <f t="shared" si="406"/>
        <v>0</v>
      </c>
      <c r="AC180" s="49">
        <f t="shared" si="406"/>
        <v>0</v>
      </c>
      <c r="AD180" s="55">
        <f t="shared" si="406"/>
        <v>49317.6</v>
      </c>
      <c r="AE180" s="49">
        <f t="shared" si="406"/>
        <v>7999.23907941751</v>
      </c>
      <c r="AF180" s="121">
        <f t="shared" si="406"/>
        <v>0</v>
      </c>
      <c r="AG180" s="121">
        <f t="shared" si="406"/>
        <v>10</v>
      </c>
      <c r="AH180" s="121">
        <f t="shared" si="406"/>
        <v>0</v>
      </c>
      <c r="AI180" s="49">
        <f t="shared" si="406"/>
        <v>0</v>
      </c>
      <c r="AJ180" s="120"/>
      <c r="AK180" s="49">
        <f t="shared" ref="AK180:AO180" si="407">SUM(AK181:AK183)</f>
        <v>185.121954523627</v>
      </c>
      <c r="AL180" s="55">
        <f t="shared" si="407"/>
        <v>259.71</v>
      </c>
      <c r="AM180" s="49">
        <f t="shared" si="407"/>
        <v>172.527116743949</v>
      </c>
      <c r="AN180" s="121">
        <f t="shared" si="407"/>
        <v>13122</v>
      </c>
      <c r="AO180" s="121">
        <f t="shared" si="407"/>
        <v>-10703</v>
      </c>
      <c r="AP180" s="125">
        <f t="shared" si="288"/>
        <v>-0.449233997901364</v>
      </c>
      <c r="AQ180" s="120">
        <f>SUM(AQ181:AQ183)</f>
        <v>0.399499646940512</v>
      </c>
      <c r="AR180" s="198">
        <f t="shared" si="289"/>
        <v>3.04459541295867e-5</v>
      </c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</row>
    <row r="181" ht="17" customHeight="1" spans="1:44">
      <c r="A181" s="31">
        <v>119</v>
      </c>
      <c r="B181" s="51" t="s">
        <v>219</v>
      </c>
      <c r="C181" s="31" t="s">
        <v>93</v>
      </c>
      <c r="D181" s="31">
        <v>2018</v>
      </c>
      <c r="E181" s="31" t="s">
        <v>94</v>
      </c>
      <c r="F181" s="31"/>
      <c r="G181" s="189">
        <f>VLOOKUP(B:B,$AZ:$BA,2,0)</f>
        <v>9697</v>
      </c>
      <c r="H181" s="189">
        <f>G181*210000/381298.76</f>
        <v>5340.61532222135</v>
      </c>
      <c r="I181" s="189">
        <v>16714</v>
      </c>
      <c r="J181" s="44">
        <f t="shared" si="396"/>
        <v>10028.4</v>
      </c>
      <c r="K181" s="44">
        <f t="shared" si="397"/>
        <v>0</v>
      </c>
      <c r="L181" s="44">
        <f t="shared" si="398"/>
        <v>0</v>
      </c>
      <c r="M181" s="44">
        <f t="shared" si="399"/>
        <v>10028.4</v>
      </c>
      <c r="N181" s="44">
        <f t="shared" si="400"/>
        <v>0</v>
      </c>
      <c r="O181" s="44">
        <f t="shared" si="401"/>
        <v>0</v>
      </c>
      <c r="P181" s="44">
        <v>1131</v>
      </c>
      <c r="Q181" s="44">
        <v>2321</v>
      </c>
      <c r="R181" s="44">
        <f t="shared" ref="R181:R183" si="408">S181+T181+U181+V181</f>
        <v>1392.6</v>
      </c>
      <c r="S181" s="44"/>
      <c r="T181" s="44">
        <f>Q181*0.6</f>
        <v>1392.6</v>
      </c>
      <c r="U181" s="44"/>
      <c r="V181" s="44"/>
      <c r="W181" s="44">
        <f t="shared" ref="W181:W183" si="409">(J181/$J$9*0.2+P181/$P$9*0.05+R181/$R$9*0.05)*299423</f>
        <v>168.376856997647</v>
      </c>
      <c r="X181" s="76">
        <v>10139</v>
      </c>
      <c r="Y181" s="115">
        <f t="shared" ref="Y181:Y183" si="410">IF(X181&lt;12842,(12842-X181)/(12842-$X$175),0)</f>
        <v>0.511447492904447</v>
      </c>
      <c r="Z181" s="44">
        <f t="shared" ref="Z181:Z183" si="411">(Y181/$Y$9*0.15)*299423</f>
        <v>1272.14770355234</v>
      </c>
      <c r="AA181" s="44"/>
      <c r="AB181" s="44"/>
      <c r="AC181" s="44"/>
      <c r="AD181" s="76">
        <f t="shared" ref="AD181:AD183" si="412">J181</f>
        <v>10028.4</v>
      </c>
      <c r="AE181" s="44">
        <f>H181-W181-Z181-AC181-AK181-AM181</f>
        <v>3779.61031172194</v>
      </c>
      <c r="AF181" s="44"/>
      <c r="AG181" s="44">
        <v>4</v>
      </c>
      <c r="AH181" s="44"/>
      <c r="AI181" s="44"/>
      <c r="AJ181" s="115">
        <f>VLOOKUP(B:B,'表6资金使用成效（12月30日）'!B:L,11,0)</f>
        <v>0.959648886283705</v>
      </c>
      <c r="AK181" s="44">
        <f t="shared" ref="AK181:AK183" si="413">AJ181/$AJ$9*0.025*299423</f>
        <v>61.822160285983</v>
      </c>
      <c r="AL181" s="76">
        <v>88.3</v>
      </c>
      <c r="AM181" s="44">
        <f t="shared" ref="AM181:AM183" si="414">(AL181/$AL$9)*0.025*299423</f>
        <v>58.6582896634349</v>
      </c>
      <c r="AN181" s="67">
        <f t="shared" ref="AN181:AN183" si="415">ROUND(AM181+AK181+AE181+AC181+Z181+W181+AI181+AF181,0)</f>
        <v>5341</v>
      </c>
      <c r="AO181" s="67">
        <f t="shared" si="402"/>
        <v>-4356</v>
      </c>
      <c r="AP181" s="125">
        <f t="shared" si="288"/>
        <v>-0.449211096215324</v>
      </c>
      <c r="AQ181" s="44">
        <f t="shared" si="403"/>
        <v>0.384677778650257</v>
      </c>
      <c r="AR181" s="198">
        <f t="shared" si="289"/>
        <v>7.20287374096542e-5</v>
      </c>
    </row>
    <row r="182" ht="17" customHeight="1" spans="1:44">
      <c r="A182" s="31">
        <v>120</v>
      </c>
      <c r="B182" s="51" t="s">
        <v>221</v>
      </c>
      <c r="C182" s="31" t="s">
        <v>93</v>
      </c>
      <c r="D182" s="31">
        <v>2019</v>
      </c>
      <c r="E182" s="31" t="s">
        <v>94</v>
      </c>
      <c r="F182" s="31"/>
      <c r="G182" s="189">
        <f>VLOOKUP(B:B,$AZ:$BA,2,0)</f>
        <v>8469</v>
      </c>
      <c r="H182" s="189">
        <f>G182*210000/381298.76</f>
        <v>4664.29526285373</v>
      </c>
      <c r="I182" s="189">
        <v>40302</v>
      </c>
      <c r="J182" s="44">
        <f t="shared" si="396"/>
        <v>32241.6</v>
      </c>
      <c r="K182" s="44">
        <f t="shared" si="397"/>
        <v>0</v>
      </c>
      <c r="L182" s="44">
        <f t="shared" si="398"/>
        <v>0</v>
      </c>
      <c r="M182" s="44">
        <f t="shared" si="399"/>
        <v>0</v>
      </c>
      <c r="N182" s="44">
        <f t="shared" si="400"/>
        <v>32241.6</v>
      </c>
      <c r="O182" s="44">
        <f t="shared" si="401"/>
        <v>0</v>
      </c>
      <c r="P182" s="44">
        <v>4739</v>
      </c>
      <c r="Q182" s="44">
        <v>5324</v>
      </c>
      <c r="R182" s="44">
        <f t="shared" si="408"/>
        <v>4259.2</v>
      </c>
      <c r="S182" s="44"/>
      <c r="T182" s="44"/>
      <c r="U182" s="44">
        <f t="shared" ref="U182:U187" si="416">Q182*0.8</f>
        <v>4259.2</v>
      </c>
      <c r="V182" s="44"/>
      <c r="W182" s="44">
        <f t="shared" si="409"/>
        <v>557.650556886654</v>
      </c>
      <c r="X182" s="76">
        <v>10076</v>
      </c>
      <c r="Y182" s="115">
        <f t="shared" si="410"/>
        <v>0.523368022705771</v>
      </c>
      <c r="Z182" s="44">
        <f t="shared" si="411"/>
        <v>1301.79820496699</v>
      </c>
      <c r="AA182" s="44"/>
      <c r="AB182" s="44"/>
      <c r="AC182" s="44"/>
      <c r="AD182" s="76">
        <f t="shared" si="412"/>
        <v>32241.6</v>
      </c>
      <c r="AE182" s="44">
        <f>H182-W182-Z182-AC182-AK182-AM182</f>
        <v>2683.60204754488</v>
      </c>
      <c r="AF182" s="44"/>
      <c r="AG182" s="44">
        <v>3</v>
      </c>
      <c r="AH182" s="44"/>
      <c r="AI182" s="44"/>
      <c r="AJ182" s="115">
        <f>VLOOKUP(B:B,'表6资金使用成效（12月30日）'!B:L,11,0)</f>
        <v>0.965424313106713</v>
      </c>
      <c r="AK182" s="44">
        <f t="shared" si="413"/>
        <v>62.1942227849608</v>
      </c>
      <c r="AL182" s="76">
        <v>88.89</v>
      </c>
      <c r="AM182" s="44">
        <f t="shared" si="414"/>
        <v>59.050230670246</v>
      </c>
      <c r="AN182" s="67">
        <f t="shared" si="415"/>
        <v>4664</v>
      </c>
      <c r="AO182" s="67">
        <f t="shared" si="402"/>
        <v>-3805</v>
      </c>
      <c r="AP182" s="125">
        <f t="shared" si="288"/>
        <v>-0.449285629944503</v>
      </c>
      <c r="AQ182" s="44">
        <f t="shared" si="403"/>
        <v>-0.295262853729582</v>
      </c>
      <c r="AR182" s="198">
        <f t="shared" si="289"/>
        <v>-6.33027793246805e-5</v>
      </c>
    </row>
    <row r="183" ht="17" customHeight="1" spans="1:44">
      <c r="A183" s="31">
        <v>121</v>
      </c>
      <c r="B183" s="51" t="s">
        <v>220</v>
      </c>
      <c r="C183" s="31" t="s">
        <v>93</v>
      </c>
      <c r="D183" s="31">
        <v>2018</v>
      </c>
      <c r="E183" s="31" t="s">
        <v>94</v>
      </c>
      <c r="F183" s="31"/>
      <c r="G183" s="189">
        <f>VLOOKUP(B:B,$AZ:$BA,2,0)</f>
        <v>5659</v>
      </c>
      <c r="H183" s="189">
        <f>G183*210000/381298.76</f>
        <v>3116.68991527798</v>
      </c>
      <c r="I183" s="189">
        <v>11746</v>
      </c>
      <c r="J183" s="44">
        <f t="shared" si="396"/>
        <v>7047.6</v>
      </c>
      <c r="K183" s="44">
        <f t="shared" si="397"/>
        <v>0</v>
      </c>
      <c r="L183" s="44">
        <f t="shared" si="398"/>
        <v>0</v>
      </c>
      <c r="M183" s="44">
        <f t="shared" si="399"/>
        <v>7047.6</v>
      </c>
      <c r="N183" s="44">
        <f t="shared" si="400"/>
        <v>0</v>
      </c>
      <c r="O183" s="44">
        <f t="shared" si="401"/>
        <v>0</v>
      </c>
      <c r="P183" s="44">
        <v>1133</v>
      </c>
      <c r="Q183" s="44">
        <v>3084</v>
      </c>
      <c r="R183" s="44">
        <f t="shared" si="408"/>
        <v>2467.2</v>
      </c>
      <c r="S183" s="44"/>
      <c r="T183" s="44"/>
      <c r="U183" s="44">
        <f t="shared" si="416"/>
        <v>2467.2</v>
      </c>
      <c r="V183" s="44"/>
      <c r="W183" s="44">
        <f t="shared" si="409"/>
        <v>148.350893029817</v>
      </c>
      <c r="X183" s="76">
        <v>10045</v>
      </c>
      <c r="Y183" s="115">
        <f t="shared" si="410"/>
        <v>0.529233680227058</v>
      </c>
      <c r="Z183" s="44">
        <f t="shared" si="411"/>
        <v>1316.38813423452</v>
      </c>
      <c r="AA183" s="44"/>
      <c r="AB183" s="44"/>
      <c r="AC183" s="44"/>
      <c r="AD183" s="76">
        <f t="shared" si="412"/>
        <v>7047.6</v>
      </c>
      <c r="AE183" s="44">
        <f>H183-W183-Z183-AC183-AK183-AM183</f>
        <v>1536.02672015069</v>
      </c>
      <c r="AF183" s="44"/>
      <c r="AG183" s="44">
        <v>3</v>
      </c>
      <c r="AH183" s="44"/>
      <c r="AI183" s="44"/>
      <c r="AJ183" s="115">
        <f>VLOOKUP(B:B,'表6资金使用成效（12月30日）'!B:L,11,0)</f>
        <v>0.948525469168901</v>
      </c>
      <c r="AK183" s="44">
        <f t="shared" si="413"/>
        <v>61.1055714526834</v>
      </c>
      <c r="AL183" s="76">
        <v>82.52</v>
      </c>
      <c r="AM183" s="44">
        <f t="shared" si="414"/>
        <v>54.8185964102678</v>
      </c>
      <c r="AN183" s="67">
        <f t="shared" si="415"/>
        <v>3117</v>
      </c>
      <c r="AO183" s="67">
        <f t="shared" si="402"/>
        <v>-2542</v>
      </c>
      <c r="AP183" s="125">
        <f t="shared" si="288"/>
        <v>-0.449195971019615</v>
      </c>
      <c r="AQ183" s="44">
        <f t="shared" si="403"/>
        <v>0.310084722019837</v>
      </c>
      <c r="AR183" s="198">
        <f t="shared" si="289"/>
        <v>9.94916820245112e-5</v>
      </c>
    </row>
    <row r="184" s="6" customFormat="1" ht="17" customHeight="1" spans="1:44">
      <c r="A184" s="39"/>
      <c r="B184" s="40" t="s">
        <v>222</v>
      </c>
      <c r="C184" s="41">
        <v>1</v>
      </c>
      <c r="D184" s="41"/>
      <c r="E184" s="41"/>
      <c r="F184" s="41"/>
      <c r="G184" s="119">
        <f>G185+G186</f>
        <v>14798</v>
      </c>
      <c r="H184" s="119">
        <f>H185+H186</f>
        <v>8149.98716492023</v>
      </c>
      <c r="I184" s="119">
        <f t="shared" ref="I184:O184" si="417">I185+I186</f>
        <v>332572</v>
      </c>
      <c r="J184" s="43">
        <f t="shared" si="417"/>
        <v>200588.4</v>
      </c>
      <c r="K184" s="43">
        <f t="shared" si="417"/>
        <v>0</v>
      </c>
      <c r="L184" s="43">
        <f t="shared" si="417"/>
        <v>17008.4</v>
      </c>
      <c r="M184" s="43">
        <f t="shared" si="417"/>
        <v>145382.4</v>
      </c>
      <c r="N184" s="43">
        <f t="shared" si="417"/>
        <v>38197.6</v>
      </c>
      <c r="O184" s="43">
        <f t="shared" si="417"/>
        <v>0</v>
      </c>
      <c r="P184" s="43">
        <v>35375</v>
      </c>
      <c r="Q184" s="43">
        <f t="shared" ref="Q184:W184" si="418">Q185+Q186</f>
        <v>21233</v>
      </c>
      <c r="R184" s="43">
        <f t="shared" si="418"/>
        <v>15913.6</v>
      </c>
      <c r="S184" s="43">
        <f t="shared" si="418"/>
        <v>178.4</v>
      </c>
      <c r="T184" s="43">
        <f t="shared" si="418"/>
        <v>2683.2</v>
      </c>
      <c r="U184" s="43">
        <f t="shared" si="418"/>
        <v>13052</v>
      </c>
      <c r="V184" s="43">
        <f t="shared" si="418"/>
        <v>0</v>
      </c>
      <c r="W184" s="43">
        <f t="shared" si="418"/>
        <v>3405.01456563986</v>
      </c>
      <c r="X184" s="77"/>
      <c r="Y184" s="118">
        <f t="shared" ref="Y184:AI184" si="419">Y185+Y186</f>
        <v>0.134720908230842</v>
      </c>
      <c r="Z184" s="43">
        <f t="shared" si="419"/>
        <v>335.097730273499</v>
      </c>
      <c r="AA184" s="43">
        <v>44</v>
      </c>
      <c r="AB184" s="43">
        <f t="shared" si="419"/>
        <v>22580.4117647058</v>
      </c>
      <c r="AC184" s="43">
        <f t="shared" si="419"/>
        <v>22580.4117647058</v>
      </c>
      <c r="AD184" s="54">
        <f t="shared" si="419"/>
        <v>102803.2</v>
      </c>
      <c r="AE184" s="43">
        <f t="shared" si="419"/>
        <v>210.410613829296</v>
      </c>
      <c r="AF184" s="119">
        <f t="shared" si="419"/>
        <v>0</v>
      </c>
      <c r="AG184" s="119">
        <f t="shared" si="419"/>
        <v>20</v>
      </c>
      <c r="AH184" s="119">
        <f t="shared" si="419"/>
        <v>0</v>
      </c>
      <c r="AI184" s="43">
        <f t="shared" si="419"/>
        <v>0</v>
      </c>
      <c r="AJ184" s="118"/>
      <c r="AK184" s="43">
        <f t="shared" ref="AK184:AO184" si="420">AK185+AK186</f>
        <v>503.848399814342</v>
      </c>
      <c r="AL184" s="54">
        <f t="shared" si="420"/>
        <v>743.29</v>
      </c>
      <c r="AM184" s="43">
        <f t="shared" si="420"/>
        <v>493.772594835045</v>
      </c>
      <c r="AN184" s="43">
        <f t="shared" si="420"/>
        <v>27529</v>
      </c>
      <c r="AO184" s="43">
        <f t="shared" si="420"/>
        <v>12731</v>
      </c>
      <c r="AP184" s="200">
        <f t="shared" si="288"/>
        <v>0.860318962021895</v>
      </c>
      <c r="AQ184" s="118">
        <f>AQ185+AQ186</f>
        <v>19379.0128350798</v>
      </c>
      <c r="AR184" s="198">
        <f t="shared" si="289"/>
        <v>2.37779673058779</v>
      </c>
    </row>
    <row r="185" ht="17" customHeight="1" spans="1:44">
      <c r="A185" s="29"/>
      <c r="B185" s="30" t="s">
        <v>223</v>
      </c>
      <c r="C185" s="31">
        <v>2</v>
      </c>
      <c r="D185" s="31"/>
      <c r="E185" s="31"/>
      <c r="F185" s="31"/>
      <c r="G185" s="189"/>
      <c r="H185" s="189"/>
      <c r="I185" s="189"/>
      <c r="J185" s="44">
        <f t="shared" ref="J185:J194" si="421">SUM(K185:O185)</f>
        <v>0</v>
      </c>
      <c r="K185" s="44">
        <f t="shared" ref="K185:K194" si="422">IF(D185="",I185*0.2,0)</f>
        <v>0</v>
      </c>
      <c r="L185" s="44">
        <f t="shared" ref="L185:L194" si="423">IF(D185=2017,I185*0.4,0)</f>
        <v>0</v>
      </c>
      <c r="M185" s="44">
        <f t="shared" ref="M185:M194" si="424">IF(D185=2018,I185*0.6,0)</f>
        <v>0</v>
      </c>
      <c r="N185" s="44">
        <f t="shared" ref="N185:N194" si="425">IF(D185=2019,I185*0.8,0)</f>
        <v>0</v>
      </c>
      <c r="O185" s="44">
        <f t="shared" ref="O185:O194" si="426">IF(D185=2020,I185*1,0)</f>
        <v>0</v>
      </c>
      <c r="P185" s="44"/>
      <c r="Q185" s="44"/>
      <c r="R185" s="44">
        <f>N185*0.4+O185*0.6+P185*0.8+Q185*1</f>
        <v>0</v>
      </c>
      <c r="S185" s="44">
        <f>Q185-T185-U185-V185</f>
        <v>0</v>
      </c>
      <c r="T185" s="44"/>
      <c r="U185" s="44"/>
      <c r="V185" s="44"/>
      <c r="W185" s="44"/>
      <c r="X185" s="76"/>
      <c r="Y185" s="115"/>
      <c r="Z185" s="44"/>
      <c r="AA185" s="44"/>
      <c r="AB185" s="44"/>
      <c r="AC185" s="44"/>
      <c r="AD185" s="76"/>
      <c r="AE185" s="44"/>
      <c r="AF185" s="44"/>
      <c r="AG185" s="44"/>
      <c r="AH185" s="44"/>
      <c r="AI185" s="44"/>
      <c r="AJ185" s="115"/>
      <c r="AK185" s="44">
        <f>AJ185/$AJ$9*0.05*200000</f>
        <v>0</v>
      </c>
      <c r="AL185" s="76"/>
      <c r="AM185" s="44">
        <f>(AL185/$AL$9)*0.05*200000</f>
        <v>0</v>
      </c>
      <c r="AN185" s="67">
        <f>ROUND(AM185+AK185+AE185+AC185+Z185+W185,0)</f>
        <v>0</v>
      </c>
      <c r="AO185" s="67">
        <f t="shared" ref="AO185:AO194" si="427">AN185-G185</f>
        <v>0</v>
      </c>
      <c r="AP185" s="125"/>
      <c r="AQ185" s="115">
        <f t="shared" ref="AQ185:AQ194" si="428">AN185-H185</f>
        <v>0</v>
      </c>
      <c r="AR185" s="198"/>
    </row>
    <row r="186" s="7" customFormat="1" ht="17" customHeight="1" spans="1:44">
      <c r="A186" s="45"/>
      <c r="B186" s="46" t="s">
        <v>76</v>
      </c>
      <c r="C186" s="47">
        <v>3</v>
      </c>
      <c r="D186" s="47"/>
      <c r="E186" s="47"/>
      <c r="F186" s="47"/>
      <c r="G186" s="121">
        <f>SUM(G187:G194)</f>
        <v>14798</v>
      </c>
      <c r="H186" s="121">
        <f>SUM(H187:H194)</f>
        <v>8149.98716492023</v>
      </c>
      <c r="I186" s="121">
        <f t="shared" ref="I186:O186" si="429">SUM(I187:I194)</f>
        <v>332572</v>
      </c>
      <c r="J186" s="49">
        <f t="shared" si="429"/>
        <v>200588.4</v>
      </c>
      <c r="K186" s="49">
        <f t="shared" si="429"/>
        <v>0</v>
      </c>
      <c r="L186" s="49">
        <f t="shared" si="429"/>
        <v>17008.4</v>
      </c>
      <c r="M186" s="49">
        <f t="shared" si="429"/>
        <v>145382.4</v>
      </c>
      <c r="N186" s="49">
        <f t="shared" si="429"/>
        <v>38197.6</v>
      </c>
      <c r="O186" s="49">
        <f t="shared" si="429"/>
        <v>0</v>
      </c>
      <c r="P186" s="49">
        <v>35375</v>
      </c>
      <c r="Q186" s="49">
        <f t="shared" ref="Q186:W186" si="430">SUM(Q187:Q194)</f>
        <v>21233</v>
      </c>
      <c r="R186" s="49">
        <f t="shared" si="430"/>
        <v>15913.6</v>
      </c>
      <c r="S186" s="49">
        <f t="shared" si="430"/>
        <v>178.4</v>
      </c>
      <c r="T186" s="49">
        <f t="shared" si="430"/>
        <v>2683.2</v>
      </c>
      <c r="U186" s="49">
        <f t="shared" si="430"/>
        <v>13052</v>
      </c>
      <c r="V186" s="49">
        <f t="shared" si="430"/>
        <v>0</v>
      </c>
      <c r="W186" s="49">
        <f t="shared" si="430"/>
        <v>3405.01456563986</v>
      </c>
      <c r="X186" s="78"/>
      <c r="Y186" s="120">
        <f t="shared" ref="Y186:AI186" si="431">SUM(Y187:Y194)</f>
        <v>0.134720908230842</v>
      </c>
      <c r="Z186" s="49">
        <f t="shared" si="431"/>
        <v>335.097730273499</v>
      </c>
      <c r="AA186" s="49">
        <v>44</v>
      </c>
      <c r="AB186" s="49">
        <f t="shared" si="431"/>
        <v>22580.4117647058</v>
      </c>
      <c r="AC186" s="49">
        <f t="shared" si="431"/>
        <v>22580.4117647058</v>
      </c>
      <c r="AD186" s="55">
        <f t="shared" si="431"/>
        <v>102803.2</v>
      </c>
      <c r="AE186" s="49">
        <f t="shared" si="431"/>
        <v>210.410613829296</v>
      </c>
      <c r="AF186" s="121">
        <f t="shared" si="431"/>
        <v>0</v>
      </c>
      <c r="AG186" s="121">
        <f t="shared" si="431"/>
        <v>20</v>
      </c>
      <c r="AH186" s="121">
        <f t="shared" si="431"/>
        <v>0</v>
      </c>
      <c r="AI186" s="49">
        <f t="shared" si="431"/>
        <v>0</v>
      </c>
      <c r="AJ186" s="120"/>
      <c r="AK186" s="49">
        <f t="shared" ref="AK186:AO186" si="432">SUM(AK187:AK194)</f>
        <v>503.848399814342</v>
      </c>
      <c r="AL186" s="55">
        <f t="shared" si="432"/>
        <v>743.29</v>
      </c>
      <c r="AM186" s="49">
        <f t="shared" si="432"/>
        <v>493.772594835045</v>
      </c>
      <c r="AN186" s="49">
        <f t="shared" si="432"/>
        <v>27529</v>
      </c>
      <c r="AO186" s="49">
        <f t="shared" si="432"/>
        <v>12731</v>
      </c>
      <c r="AP186" s="134">
        <f t="shared" si="288"/>
        <v>0.860318962021895</v>
      </c>
      <c r="AQ186" s="120">
        <f>SUM(AQ187:AQ194)</f>
        <v>19379.0128350798</v>
      </c>
      <c r="AR186" s="198">
        <f t="shared" si="289"/>
        <v>2.37779673058779</v>
      </c>
    </row>
    <row r="187" ht="17" customHeight="1" spans="1:44">
      <c r="A187" s="31">
        <v>122</v>
      </c>
      <c r="B187" s="51" t="s">
        <v>225</v>
      </c>
      <c r="C187" s="31" t="s">
        <v>90</v>
      </c>
      <c r="D187" s="31">
        <v>2018</v>
      </c>
      <c r="E187" s="31" t="s">
        <v>91</v>
      </c>
      <c r="F187" s="31"/>
      <c r="G187" s="189">
        <f t="shared" ref="G187:G194" si="433">VLOOKUP(B:B,$AZ:$BA,2,0)</f>
        <v>1728</v>
      </c>
      <c r="H187" s="189">
        <f t="shared" ref="H187:H194" si="434">G187*210000/381298.76</f>
        <v>951.69467637398</v>
      </c>
      <c r="I187" s="189">
        <v>67610</v>
      </c>
      <c r="J187" s="44">
        <f t="shared" si="421"/>
        <v>40566</v>
      </c>
      <c r="K187" s="44">
        <f t="shared" si="422"/>
        <v>0</v>
      </c>
      <c r="L187" s="44">
        <f t="shared" si="423"/>
        <v>0</v>
      </c>
      <c r="M187" s="44">
        <f t="shared" si="424"/>
        <v>40566</v>
      </c>
      <c r="N187" s="44">
        <f t="shared" si="425"/>
        <v>0</v>
      </c>
      <c r="O187" s="44">
        <f t="shared" si="426"/>
        <v>0</v>
      </c>
      <c r="P187" s="44">
        <v>6650</v>
      </c>
      <c r="Q187" s="44">
        <v>3875</v>
      </c>
      <c r="R187" s="44">
        <f t="shared" ref="R187:R194" si="435">S187+T187+U187+V187</f>
        <v>3100</v>
      </c>
      <c r="S187" s="44"/>
      <c r="T187" s="44"/>
      <c r="U187" s="44">
        <f t="shared" si="416"/>
        <v>3100</v>
      </c>
      <c r="V187" s="44"/>
      <c r="W187" s="44">
        <f t="shared" ref="W187:W194" si="436">(J187/$J$9*0.2+P187/$P$9*0.05+R187/$R$9*0.05)*299423</f>
        <v>677.650628764283</v>
      </c>
      <c r="X187" s="76">
        <v>13034</v>
      </c>
      <c r="Y187" s="115">
        <f t="shared" ref="Y187:Y194" si="437">IF(X187&lt;12842,(12842-X187)/(12842-$X$175),0)</f>
        <v>0</v>
      </c>
      <c r="Z187" s="44">
        <f t="shared" ref="Z187:Z194" si="438">(Y187/$Y$9*0.15)*299423</f>
        <v>0</v>
      </c>
      <c r="AA187" s="44"/>
      <c r="AB187" s="44"/>
      <c r="AC187" s="44"/>
      <c r="AD187" s="76">
        <f>J187</f>
        <v>40566</v>
      </c>
      <c r="AE187" s="44">
        <f>H187-W187-Z187-AC187-AK187-AM187</f>
        <v>144.214755521242</v>
      </c>
      <c r="AF187" s="44"/>
      <c r="AG187" s="44">
        <v>5</v>
      </c>
      <c r="AH187" s="44"/>
      <c r="AI187" s="44"/>
      <c r="AJ187" s="115">
        <f>VLOOKUP(B:B,'表6资金使用成效（12月30日）'!B:L,11,0)</f>
        <v>1</v>
      </c>
      <c r="AK187" s="44">
        <f t="shared" ref="AK187:AK194" si="439">AJ187/$AJ$9*0.025*299423</f>
        <v>64.4216454263734</v>
      </c>
      <c r="AL187" s="76">
        <v>98.46</v>
      </c>
      <c r="AM187" s="44">
        <f t="shared" ref="AM187:AM194" si="440">(AL187/$AL$9)*0.025*299423</f>
        <v>65.4076466620815</v>
      </c>
      <c r="AN187" s="67">
        <f t="shared" ref="AN187:AN194" si="441">ROUND(AM187+AK187+AE187+AC187+Z187+W187+AI187+AF187,0)</f>
        <v>952</v>
      </c>
      <c r="AO187" s="67">
        <f t="shared" si="427"/>
        <v>-776</v>
      </c>
      <c r="AP187" s="125">
        <f t="shared" si="288"/>
        <v>-0.449074074074074</v>
      </c>
      <c r="AQ187" s="44">
        <f t="shared" si="428"/>
        <v>0.305323626020026</v>
      </c>
      <c r="AR187" s="198">
        <f t="shared" si="289"/>
        <v>0.000320820987654706</v>
      </c>
    </row>
    <row r="188" ht="17" customHeight="1" spans="1:44">
      <c r="A188" s="31">
        <v>123</v>
      </c>
      <c r="B188" s="51" t="s">
        <v>226</v>
      </c>
      <c r="C188" s="31" t="s">
        <v>90</v>
      </c>
      <c r="D188" s="31">
        <v>2017</v>
      </c>
      <c r="E188" s="31"/>
      <c r="F188" s="31"/>
      <c r="G188" s="189">
        <f t="shared" si="433"/>
        <v>707</v>
      </c>
      <c r="H188" s="189">
        <f t="shared" si="434"/>
        <v>389.379708446993</v>
      </c>
      <c r="I188" s="189">
        <v>42521</v>
      </c>
      <c r="J188" s="44">
        <f t="shared" si="421"/>
        <v>17008.4</v>
      </c>
      <c r="K188" s="44">
        <f t="shared" si="422"/>
        <v>0</v>
      </c>
      <c r="L188" s="44">
        <f t="shared" si="423"/>
        <v>17008.4</v>
      </c>
      <c r="M188" s="44">
        <f t="shared" si="424"/>
        <v>0</v>
      </c>
      <c r="N188" s="44">
        <f t="shared" si="425"/>
        <v>0</v>
      </c>
      <c r="O188" s="44">
        <f t="shared" si="426"/>
        <v>0</v>
      </c>
      <c r="P188" s="44">
        <v>4931</v>
      </c>
      <c r="Q188" s="44">
        <v>1690</v>
      </c>
      <c r="R188" s="44">
        <f t="shared" si="435"/>
        <v>1014</v>
      </c>
      <c r="S188" s="44"/>
      <c r="T188" s="44">
        <f>Q188*0.6</f>
        <v>1014</v>
      </c>
      <c r="U188" s="44"/>
      <c r="V188" s="44"/>
      <c r="W188" s="44">
        <f t="shared" si="436"/>
        <v>318.041095277618</v>
      </c>
      <c r="X188" s="76">
        <v>13561</v>
      </c>
      <c r="Y188" s="115">
        <f t="shared" si="437"/>
        <v>0</v>
      </c>
      <c r="Z188" s="44">
        <f t="shared" si="438"/>
        <v>0</v>
      </c>
      <c r="AA188" s="44"/>
      <c r="AB188" s="44"/>
      <c r="AC188" s="44"/>
      <c r="AD188" s="76"/>
      <c r="AE188" s="44">
        <f t="shared" ref="AE187:AE194" si="442">AD188/$AD$9*71500</f>
        <v>0</v>
      </c>
      <c r="AF188" s="44"/>
      <c r="AG188" s="44">
        <v>3</v>
      </c>
      <c r="AH188" s="44"/>
      <c r="AI188" s="44"/>
      <c r="AJ188" s="115">
        <f>VLOOKUP(B:B,'表6资金使用成效（12月30日）'!B:L,11,0)</f>
        <v>1</v>
      </c>
      <c r="AK188" s="44">
        <f t="shared" si="439"/>
        <v>64.4216454263734</v>
      </c>
      <c r="AL188" s="76">
        <v>92.99</v>
      </c>
      <c r="AM188" s="44">
        <f t="shared" si="440"/>
        <v>61.7738885141881</v>
      </c>
      <c r="AN188" s="67">
        <f t="shared" si="441"/>
        <v>444</v>
      </c>
      <c r="AO188" s="67">
        <f t="shared" si="427"/>
        <v>-263</v>
      </c>
      <c r="AP188" s="125">
        <f t="shared" si="288"/>
        <v>-0.371994342291372</v>
      </c>
      <c r="AQ188" s="44">
        <f t="shared" si="428"/>
        <v>54.620291553007</v>
      </c>
      <c r="AR188" s="198">
        <f t="shared" si="289"/>
        <v>0.140275135987068</v>
      </c>
    </row>
    <row r="189" ht="17" customHeight="1" spans="1:44">
      <c r="A189" s="31">
        <v>124</v>
      </c>
      <c r="B189" s="51" t="s">
        <v>224</v>
      </c>
      <c r="C189" s="31" t="s">
        <v>90</v>
      </c>
      <c r="D189" s="31">
        <v>2018</v>
      </c>
      <c r="E189" s="31"/>
      <c r="F189" s="31"/>
      <c r="G189" s="189">
        <f t="shared" si="433"/>
        <v>2095</v>
      </c>
      <c r="H189" s="189">
        <f t="shared" si="434"/>
        <v>1153.81964525665</v>
      </c>
      <c r="I189" s="189">
        <v>38517</v>
      </c>
      <c r="J189" s="44">
        <f t="shared" si="421"/>
        <v>23110.2</v>
      </c>
      <c r="K189" s="44">
        <f t="shared" si="422"/>
        <v>0</v>
      </c>
      <c r="L189" s="44">
        <f t="shared" si="423"/>
        <v>0</v>
      </c>
      <c r="M189" s="44">
        <f t="shared" si="424"/>
        <v>23110.2</v>
      </c>
      <c r="N189" s="44">
        <f t="shared" si="425"/>
        <v>0</v>
      </c>
      <c r="O189" s="44">
        <f t="shared" si="426"/>
        <v>0</v>
      </c>
      <c r="P189" s="44">
        <v>3785</v>
      </c>
      <c r="Q189" s="44">
        <v>4109</v>
      </c>
      <c r="R189" s="44">
        <f t="shared" si="435"/>
        <v>3287.2</v>
      </c>
      <c r="S189" s="44"/>
      <c r="T189" s="44"/>
      <c r="U189" s="44">
        <f t="shared" ref="U189:U193" si="443">Q189*0.8</f>
        <v>3287.2</v>
      </c>
      <c r="V189" s="44"/>
      <c r="W189" s="44">
        <f t="shared" si="436"/>
        <v>410.459244448602</v>
      </c>
      <c r="X189" s="76">
        <v>12869</v>
      </c>
      <c r="Y189" s="115">
        <f t="shared" si="437"/>
        <v>0</v>
      </c>
      <c r="Z189" s="44">
        <f t="shared" si="438"/>
        <v>0</v>
      </c>
      <c r="AA189" s="44"/>
      <c r="AB189" s="44"/>
      <c r="AC189" s="44"/>
      <c r="AD189" s="76"/>
      <c r="AE189" s="44">
        <f t="shared" si="442"/>
        <v>0</v>
      </c>
      <c r="AF189" s="44"/>
      <c r="AG189" s="44">
        <v>5</v>
      </c>
      <c r="AH189" s="44"/>
      <c r="AI189" s="44"/>
      <c r="AJ189" s="115">
        <f>VLOOKUP(B:B,'表6资金使用成效（12月30日）'!B:L,11,0)</f>
        <v>1</v>
      </c>
      <c r="AK189" s="44">
        <f t="shared" si="439"/>
        <v>64.4216454263734</v>
      </c>
      <c r="AL189" s="76">
        <v>90.87</v>
      </c>
      <c r="AM189" s="44">
        <f t="shared" si="440"/>
        <v>60.3655581168327</v>
      </c>
      <c r="AN189" s="67">
        <f t="shared" si="441"/>
        <v>535</v>
      </c>
      <c r="AO189" s="67">
        <f t="shared" si="427"/>
        <v>-1560</v>
      </c>
      <c r="AP189" s="125">
        <f t="shared" si="288"/>
        <v>-0.744630071599045</v>
      </c>
      <c r="AQ189" s="44">
        <f t="shared" si="428"/>
        <v>-618.81964525665</v>
      </c>
      <c r="AR189" s="198">
        <f t="shared" si="289"/>
        <v>-0.536322680759178</v>
      </c>
    </row>
    <row r="190" ht="17" customHeight="1" spans="1:44">
      <c r="A190" s="31">
        <v>125</v>
      </c>
      <c r="B190" s="51" t="s">
        <v>227</v>
      </c>
      <c r="C190" s="31" t="s">
        <v>90</v>
      </c>
      <c r="D190" s="31">
        <v>2019</v>
      </c>
      <c r="E190" s="31" t="s">
        <v>91</v>
      </c>
      <c r="F190" s="31"/>
      <c r="G190" s="189">
        <f t="shared" si="433"/>
        <v>1381</v>
      </c>
      <c r="H190" s="189">
        <f t="shared" si="434"/>
        <v>760.584692171566</v>
      </c>
      <c r="I190" s="189">
        <v>47747</v>
      </c>
      <c r="J190" s="44">
        <f t="shared" si="421"/>
        <v>38197.6</v>
      </c>
      <c r="K190" s="44">
        <f t="shared" si="422"/>
        <v>0</v>
      </c>
      <c r="L190" s="44">
        <f t="shared" si="423"/>
        <v>0</v>
      </c>
      <c r="M190" s="44">
        <f t="shared" si="424"/>
        <v>0</v>
      </c>
      <c r="N190" s="44">
        <f t="shared" si="425"/>
        <v>38197.6</v>
      </c>
      <c r="O190" s="44">
        <f t="shared" si="426"/>
        <v>0</v>
      </c>
      <c r="P190" s="44">
        <v>4818</v>
      </c>
      <c r="Q190" s="44">
        <v>446</v>
      </c>
      <c r="R190" s="44">
        <f t="shared" si="435"/>
        <v>178.4</v>
      </c>
      <c r="S190" s="44">
        <f>Q190*0.4</f>
        <v>178.4</v>
      </c>
      <c r="T190" s="44"/>
      <c r="U190" s="44"/>
      <c r="V190" s="44"/>
      <c r="W190" s="44">
        <f t="shared" si="436"/>
        <v>568.053795496797</v>
      </c>
      <c r="X190" s="76">
        <v>12918</v>
      </c>
      <c r="Y190" s="115">
        <f t="shared" si="437"/>
        <v>0</v>
      </c>
      <c r="Z190" s="44">
        <f t="shared" si="438"/>
        <v>0</v>
      </c>
      <c r="AA190" s="44"/>
      <c r="AB190" s="44"/>
      <c r="AC190" s="44"/>
      <c r="AD190" s="76">
        <f>J190</f>
        <v>38197.6</v>
      </c>
      <c r="AE190" s="44">
        <f>H190-W190-Z190-AC190-AK190-AM190</f>
        <v>66.1958583080542</v>
      </c>
      <c r="AF190" s="44"/>
      <c r="AG190" s="44">
        <v>2</v>
      </c>
      <c r="AH190" s="44"/>
      <c r="AI190" s="44"/>
      <c r="AJ190" s="115">
        <f>VLOOKUP(B:B,'表6资金使用成效（12月30日）'!B:L,11,0)</f>
        <v>1</v>
      </c>
      <c r="AK190" s="44">
        <f t="shared" si="439"/>
        <v>64.4216454263734</v>
      </c>
      <c r="AL190" s="76">
        <v>93.2</v>
      </c>
      <c r="AM190" s="44">
        <f t="shared" si="440"/>
        <v>61.9133929403412</v>
      </c>
      <c r="AN190" s="67">
        <f t="shared" si="441"/>
        <v>761</v>
      </c>
      <c r="AO190" s="67">
        <f t="shared" si="427"/>
        <v>-620</v>
      </c>
      <c r="AP190" s="125">
        <f t="shared" si="288"/>
        <v>-0.448950036205648</v>
      </c>
      <c r="AQ190" s="44">
        <f t="shared" si="428"/>
        <v>0.415307828434038</v>
      </c>
      <c r="AR190" s="198">
        <f t="shared" si="289"/>
        <v>0.000546037584911526</v>
      </c>
    </row>
    <row r="191" ht="17" customHeight="1" spans="1:44">
      <c r="A191" s="31">
        <v>126</v>
      </c>
      <c r="B191" s="51" t="s">
        <v>228</v>
      </c>
      <c r="C191" s="31" t="s">
        <v>90</v>
      </c>
      <c r="D191" s="31">
        <v>2018</v>
      </c>
      <c r="E191" s="31"/>
      <c r="F191" s="31" t="s">
        <v>146</v>
      </c>
      <c r="G191" s="189">
        <f t="shared" si="433"/>
        <v>2341</v>
      </c>
      <c r="H191" s="189">
        <f t="shared" si="434"/>
        <v>1289.30395682378</v>
      </c>
      <c r="I191" s="189">
        <v>32790</v>
      </c>
      <c r="J191" s="44">
        <f t="shared" si="421"/>
        <v>19674</v>
      </c>
      <c r="K191" s="44">
        <f t="shared" si="422"/>
        <v>0</v>
      </c>
      <c r="L191" s="44">
        <f t="shared" si="423"/>
        <v>0</v>
      </c>
      <c r="M191" s="44">
        <f t="shared" si="424"/>
        <v>19674</v>
      </c>
      <c r="N191" s="44">
        <f t="shared" si="425"/>
        <v>0</v>
      </c>
      <c r="O191" s="44">
        <f t="shared" si="426"/>
        <v>0</v>
      </c>
      <c r="P191" s="44">
        <v>3855</v>
      </c>
      <c r="Q191" s="44">
        <v>1212</v>
      </c>
      <c r="R191" s="44">
        <f t="shared" si="435"/>
        <v>727.2</v>
      </c>
      <c r="S191" s="44"/>
      <c r="T191" s="44">
        <f>Q191*0.6</f>
        <v>727.2</v>
      </c>
      <c r="U191" s="44"/>
      <c r="V191" s="44"/>
      <c r="W191" s="44">
        <f t="shared" si="436"/>
        <v>327.486088040824</v>
      </c>
      <c r="X191" s="76">
        <v>12571</v>
      </c>
      <c r="Y191" s="115">
        <f t="shared" si="437"/>
        <v>0.0512771996215705</v>
      </c>
      <c r="Z191" s="44">
        <f t="shared" si="438"/>
        <v>127.544220370953</v>
      </c>
      <c r="AA191" s="44">
        <v>14</v>
      </c>
      <c r="AB191" s="44">
        <f>VLOOKUP(B:B,小康村到县资金!C:I,7,0)</f>
        <v>8161.17647058823</v>
      </c>
      <c r="AC191" s="44">
        <v>8161.17647058823</v>
      </c>
      <c r="AD191" s="76"/>
      <c r="AE191" s="44">
        <f t="shared" si="442"/>
        <v>0</v>
      </c>
      <c r="AF191" s="44"/>
      <c r="AG191" s="44"/>
      <c r="AH191" s="44"/>
      <c r="AI191" s="44"/>
      <c r="AJ191" s="115">
        <f>VLOOKUP(B:B,'表6资金使用成效（12月30日）'!B:L,11,0)</f>
        <v>0.982856163209326</v>
      </c>
      <c r="AK191" s="44">
        <f t="shared" si="439"/>
        <v>63.317211251397</v>
      </c>
      <c r="AL191" s="76">
        <v>92.43</v>
      </c>
      <c r="AM191" s="44">
        <f t="shared" si="440"/>
        <v>61.4018767111131</v>
      </c>
      <c r="AN191" s="67">
        <f t="shared" si="441"/>
        <v>8741</v>
      </c>
      <c r="AO191" s="67">
        <f t="shared" si="427"/>
        <v>6400</v>
      </c>
      <c r="AP191" s="125">
        <f t="shared" si="288"/>
        <v>2.73387441264417</v>
      </c>
      <c r="AQ191" s="44">
        <f t="shared" si="428"/>
        <v>7451.69604317622</v>
      </c>
      <c r="AR191" s="198">
        <f t="shared" si="289"/>
        <v>5.77962706446166</v>
      </c>
    </row>
    <row r="192" ht="17" customHeight="1" spans="1:44">
      <c r="A192" s="31">
        <v>127</v>
      </c>
      <c r="B192" s="51" t="s">
        <v>229</v>
      </c>
      <c r="C192" s="31" t="s">
        <v>90</v>
      </c>
      <c r="D192" s="31">
        <v>2018</v>
      </c>
      <c r="E192" s="31"/>
      <c r="F192" s="31"/>
      <c r="G192" s="189">
        <f t="shared" si="433"/>
        <v>1879</v>
      </c>
      <c r="H192" s="189">
        <f t="shared" si="434"/>
        <v>1034.8578107099</v>
      </c>
      <c r="I192" s="189">
        <v>26354</v>
      </c>
      <c r="J192" s="44">
        <f t="shared" si="421"/>
        <v>15812.4</v>
      </c>
      <c r="K192" s="44">
        <f t="shared" si="422"/>
        <v>0</v>
      </c>
      <c r="L192" s="44">
        <f t="shared" si="423"/>
        <v>0</v>
      </c>
      <c r="M192" s="44">
        <f t="shared" si="424"/>
        <v>15812.4</v>
      </c>
      <c r="N192" s="44">
        <f t="shared" si="425"/>
        <v>0</v>
      </c>
      <c r="O192" s="44">
        <f t="shared" si="426"/>
        <v>0</v>
      </c>
      <c r="P192" s="44">
        <v>2899</v>
      </c>
      <c r="Q192" s="44">
        <v>3784</v>
      </c>
      <c r="R192" s="44">
        <f t="shared" si="435"/>
        <v>3027.2</v>
      </c>
      <c r="S192" s="44"/>
      <c r="T192" s="44"/>
      <c r="U192" s="44">
        <f t="shared" si="443"/>
        <v>3027.2</v>
      </c>
      <c r="V192" s="44"/>
      <c r="W192" s="44">
        <f t="shared" si="436"/>
        <v>298.916484253247</v>
      </c>
      <c r="X192" s="76">
        <v>12863</v>
      </c>
      <c r="Y192" s="115">
        <f t="shared" si="437"/>
        <v>0</v>
      </c>
      <c r="Z192" s="44">
        <f t="shared" si="438"/>
        <v>0</v>
      </c>
      <c r="AA192" s="44"/>
      <c r="AB192" s="44"/>
      <c r="AC192" s="44"/>
      <c r="AD192" s="76"/>
      <c r="AE192" s="44">
        <f t="shared" si="442"/>
        <v>0</v>
      </c>
      <c r="AF192" s="44"/>
      <c r="AG192" s="44">
        <v>5</v>
      </c>
      <c r="AH192" s="44"/>
      <c r="AI192" s="44"/>
      <c r="AJ192" s="115">
        <f>VLOOKUP(B:B,'表6资金使用成效（12月30日）'!B:L,11,0)</f>
        <v>0.971110104800104</v>
      </c>
      <c r="AK192" s="44">
        <f t="shared" si="439"/>
        <v>62.5605108414007</v>
      </c>
      <c r="AL192" s="76">
        <v>90.69</v>
      </c>
      <c r="AM192" s="44">
        <f t="shared" si="440"/>
        <v>60.2459828944157</v>
      </c>
      <c r="AN192" s="67">
        <f t="shared" si="441"/>
        <v>422</v>
      </c>
      <c r="AO192" s="67">
        <f t="shared" si="427"/>
        <v>-1457</v>
      </c>
      <c r="AP192" s="125">
        <f t="shared" si="288"/>
        <v>-0.775412453432677</v>
      </c>
      <c r="AQ192" s="44">
        <f t="shared" si="428"/>
        <v>-612.8578107099</v>
      </c>
      <c r="AR192" s="198">
        <f t="shared" si="289"/>
        <v>-0.592214509440178</v>
      </c>
    </row>
    <row r="193" ht="17" customHeight="1" spans="1:44">
      <c r="A193" s="31">
        <v>128</v>
      </c>
      <c r="B193" s="51" t="s">
        <v>230</v>
      </c>
      <c r="C193" s="31" t="s">
        <v>90</v>
      </c>
      <c r="D193" s="31">
        <v>2018</v>
      </c>
      <c r="E193" s="31"/>
      <c r="F193" s="31" t="s">
        <v>146</v>
      </c>
      <c r="G193" s="189">
        <f t="shared" si="433"/>
        <v>1379</v>
      </c>
      <c r="H193" s="189">
        <f t="shared" si="434"/>
        <v>759.483193703541</v>
      </c>
      <c r="I193" s="189">
        <v>36967</v>
      </c>
      <c r="J193" s="44">
        <f t="shared" si="421"/>
        <v>22180.2</v>
      </c>
      <c r="K193" s="44">
        <f t="shared" si="422"/>
        <v>0</v>
      </c>
      <c r="L193" s="44">
        <f t="shared" si="423"/>
        <v>0</v>
      </c>
      <c r="M193" s="44">
        <f t="shared" si="424"/>
        <v>22180.2</v>
      </c>
      <c r="N193" s="44">
        <f t="shared" si="425"/>
        <v>0</v>
      </c>
      <c r="O193" s="44">
        <f t="shared" si="426"/>
        <v>0</v>
      </c>
      <c r="P193" s="44">
        <v>3302</v>
      </c>
      <c r="Q193" s="44">
        <v>4547</v>
      </c>
      <c r="R193" s="44">
        <f t="shared" si="435"/>
        <v>3637.6</v>
      </c>
      <c r="S193" s="44"/>
      <c r="T193" s="44"/>
      <c r="U193" s="44">
        <f t="shared" si="443"/>
        <v>3637.6</v>
      </c>
      <c r="V193" s="44"/>
      <c r="W193" s="44">
        <f t="shared" si="436"/>
        <v>395.762042379423</v>
      </c>
      <c r="X193" s="76">
        <v>13484</v>
      </c>
      <c r="Y193" s="115">
        <f t="shared" si="437"/>
        <v>0</v>
      </c>
      <c r="Z193" s="44">
        <f t="shared" si="438"/>
        <v>0</v>
      </c>
      <c r="AA193" s="44">
        <v>7</v>
      </c>
      <c r="AB193" s="44">
        <f>VLOOKUP(B:B,小康村到县资金!C:I,7,0)</f>
        <v>633.088235294117</v>
      </c>
      <c r="AC193" s="44">
        <v>633.088235294117</v>
      </c>
      <c r="AD193" s="76"/>
      <c r="AE193" s="44">
        <f t="shared" si="442"/>
        <v>0</v>
      </c>
      <c r="AF193" s="44"/>
      <c r="AG193" s="44"/>
      <c r="AH193" s="44"/>
      <c r="AI193" s="44"/>
      <c r="AJ193" s="115">
        <f>VLOOKUP(B:B,'表6资金使用成效（12月30日）'!B:L,11,0)</f>
        <v>0.92713790403758</v>
      </c>
      <c r="AK193" s="44">
        <f t="shared" si="439"/>
        <v>59.72774931526</v>
      </c>
      <c r="AL193" s="76">
        <v>92.12</v>
      </c>
      <c r="AM193" s="44">
        <f t="shared" si="440"/>
        <v>61.1959416058394</v>
      </c>
      <c r="AN193" s="67">
        <f t="shared" si="441"/>
        <v>1150</v>
      </c>
      <c r="AO193" s="67">
        <f t="shared" si="427"/>
        <v>-229</v>
      </c>
      <c r="AP193" s="125">
        <f t="shared" si="288"/>
        <v>-0.166062364031907</v>
      </c>
      <c r="AQ193" s="44">
        <f t="shared" si="428"/>
        <v>390.516806296459</v>
      </c>
      <c r="AR193" s="198">
        <f t="shared" si="289"/>
        <v>0.514187554818882</v>
      </c>
    </row>
    <row r="194" ht="17" customHeight="1" spans="1:44">
      <c r="A194" s="31">
        <v>129</v>
      </c>
      <c r="B194" s="51" t="s">
        <v>231</v>
      </c>
      <c r="C194" s="31" t="s">
        <v>90</v>
      </c>
      <c r="D194" s="31">
        <v>2018</v>
      </c>
      <c r="E194" s="31" t="s">
        <v>91</v>
      </c>
      <c r="F194" s="31" t="s">
        <v>146</v>
      </c>
      <c r="G194" s="189">
        <f t="shared" si="433"/>
        <v>3288</v>
      </c>
      <c r="H194" s="189">
        <f t="shared" si="434"/>
        <v>1810.86348143382</v>
      </c>
      <c r="I194" s="189">
        <v>40066</v>
      </c>
      <c r="J194" s="44">
        <f t="shared" si="421"/>
        <v>24039.6</v>
      </c>
      <c r="K194" s="44">
        <f t="shared" si="422"/>
        <v>0</v>
      </c>
      <c r="L194" s="44">
        <f t="shared" si="423"/>
        <v>0</v>
      </c>
      <c r="M194" s="44">
        <f t="shared" si="424"/>
        <v>24039.6</v>
      </c>
      <c r="N194" s="44">
        <f t="shared" si="425"/>
        <v>0</v>
      </c>
      <c r="O194" s="44">
        <f t="shared" si="426"/>
        <v>0</v>
      </c>
      <c r="P194" s="44">
        <v>5135</v>
      </c>
      <c r="Q194" s="44">
        <v>1570</v>
      </c>
      <c r="R194" s="44">
        <f t="shared" si="435"/>
        <v>942</v>
      </c>
      <c r="S194" s="44"/>
      <c r="T194" s="44">
        <f>Q194*0.6</f>
        <v>942</v>
      </c>
      <c r="U194" s="44"/>
      <c r="V194" s="44"/>
      <c r="W194" s="44">
        <f t="shared" si="436"/>
        <v>408.645186979068</v>
      </c>
      <c r="X194" s="76">
        <v>12401</v>
      </c>
      <c r="Y194" s="115">
        <f t="shared" si="437"/>
        <v>0.0834437086092715</v>
      </c>
      <c r="Z194" s="44">
        <f t="shared" si="438"/>
        <v>207.553509902546</v>
      </c>
      <c r="AA194" s="44">
        <v>23</v>
      </c>
      <c r="AB194" s="44">
        <f>VLOOKUP(B:B,小康村到县资金!C:I,7,0)</f>
        <v>13786.1470588235</v>
      </c>
      <c r="AC194" s="44">
        <v>13786.1470588235</v>
      </c>
      <c r="AD194" s="76">
        <f>J194</f>
        <v>24039.6</v>
      </c>
      <c r="AE194" s="44"/>
      <c r="AF194" s="44"/>
      <c r="AG194" s="44"/>
      <c r="AH194" s="44"/>
      <c r="AI194" s="44"/>
      <c r="AJ194" s="115">
        <f>VLOOKUP(B:B,'表6资金使用成效（12月30日）'!B:L,11,0)</f>
        <v>0.94</v>
      </c>
      <c r="AK194" s="44">
        <f t="shared" si="439"/>
        <v>60.556346700791</v>
      </c>
      <c r="AL194" s="76">
        <v>92.53</v>
      </c>
      <c r="AM194" s="44">
        <f t="shared" si="440"/>
        <v>61.4683073902336</v>
      </c>
      <c r="AN194" s="67">
        <f t="shared" si="441"/>
        <v>14524</v>
      </c>
      <c r="AO194" s="67">
        <f t="shared" si="427"/>
        <v>11236</v>
      </c>
      <c r="AP194" s="125">
        <f t="shared" si="288"/>
        <v>3.41727493917275</v>
      </c>
      <c r="AQ194" s="44">
        <f t="shared" si="428"/>
        <v>12713.1365185662</v>
      </c>
      <c r="AR194" s="198">
        <f t="shared" si="289"/>
        <v>7.0204831280269</v>
      </c>
    </row>
    <row r="196" spans="2:2">
      <c r="B196" s="9"/>
    </row>
  </sheetData>
  <autoFilter ref="A1:AT194">
    <extLst/>
  </autoFilter>
  <mergeCells count="34">
    <mergeCell ref="A2:AR2"/>
    <mergeCell ref="I4:W4"/>
    <mergeCell ref="I5:O5"/>
    <mergeCell ref="Q5:V5"/>
    <mergeCell ref="J6:O6"/>
    <mergeCell ref="R6:V6"/>
    <mergeCell ref="AA6:AC6"/>
    <mergeCell ref="AD6:AF6"/>
    <mergeCell ref="AG6:AH6"/>
    <mergeCell ref="AJ6:AK6"/>
    <mergeCell ref="AL6:AM6"/>
    <mergeCell ref="A4:A7"/>
    <mergeCell ref="B4:B7"/>
    <mergeCell ref="C4:C7"/>
    <mergeCell ref="D4:D7"/>
    <mergeCell ref="E4:E7"/>
    <mergeCell ref="F4:F7"/>
    <mergeCell ref="G4:G7"/>
    <mergeCell ref="H4:H7"/>
    <mergeCell ref="I6:I7"/>
    <mergeCell ref="P5:P7"/>
    <mergeCell ref="Q6:Q7"/>
    <mergeCell ref="W5:W7"/>
    <mergeCell ref="X6:X7"/>
    <mergeCell ref="Y6:Y7"/>
    <mergeCell ref="Z6:Z7"/>
    <mergeCell ref="AN4:AN7"/>
    <mergeCell ref="AO4:AO7"/>
    <mergeCell ref="AP4:AP7"/>
    <mergeCell ref="AQ4:AQ7"/>
    <mergeCell ref="AR4:AR7"/>
    <mergeCell ref="X4:Z5"/>
    <mergeCell ref="AJ4:AM5"/>
    <mergeCell ref="AA4:AI5"/>
  </mergeCells>
  <pageMargins left="0.751388888888889" right="0.751388888888889" top="1" bottom="1" header="0.5" footer="0.5"/>
  <pageSetup paperSize="8" scale="40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7"/>
  <sheetViews>
    <sheetView view="pageBreakPreview" zoomScaleNormal="100" workbookViewId="0">
      <selection activeCell="A1" sqref="A1:K1"/>
    </sheetView>
  </sheetViews>
  <sheetFormatPr defaultColWidth="9" defaultRowHeight="13.5"/>
  <cols>
    <col min="1" max="1" width="7.60833333333333" style="172" customWidth="1"/>
    <col min="2" max="2" width="9.875" style="172" customWidth="1"/>
    <col min="3" max="3" width="10.875" style="172" customWidth="1"/>
    <col min="4" max="4" width="9.64166666666667" style="172" customWidth="1"/>
    <col min="5" max="5" width="11.6833333333333" style="172" customWidth="1"/>
    <col min="6" max="6" width="11.4083333333333" style="172" customWidth="1"/>
    <col min="7" max="7" width="11.25" style="172" customWidth="1"/>
    <col min="8" max="8" width="10.1833333333333" style="172" customWidth="1"/>
    <col min="9" max="9" width="11.275" style="172" customWidth="1"/>
    <col min="10" max="10" width="12.75" style="172" customWidth="1"/>
    <col min="11" max="11" width="12" style="172" customWidth="1"/>
    <col min="12" max="12" width="12.625" style="172" customWidth="1"/>
    <col min="13" max="16384" width="9" style="172"/>
  </cols>
  <sheetData>
    <row r="1" ht="24" customHeight="1" spans="1:11">
      <c r="A1" s="173" t="s">
        <v>232</v>
      </c>
      <c r="B1" s="173"/>
      <c r="C1" s="173" t="s">
        <v>233</v>
      </c>
      <c r="D1" s="173" t="s">
        <v>233</v>
      </c>
      <c r="E1" s="173" t="s">
        <v>233</v>
      </c>
      <c r="F1" s="173" t="s">
        <v>233</v>
      </c>
      <c r="G1" s="173" t="s">
        <v>233</v>
      </c>
      <c r="H1" s="173" t="s">
        <v>233</v>
      </c>
      <c r="I1" s="173" t="s">
        <v>233</v>
      </c>
      <c r="J1" s="173" t="s">
        <v>233</v>
      </c>
      <c r="K1" s="173" t="s">
        <v>233</v>
      </c>
    </row>
    <row r="2" ht="30" customHeight="1" spans="1:12">
      <c r="A2" s="174" t="s">
        <v>3</v>
      </c>
      <c r="B2" s="174" t="s">
        <v>234</v>
      </c>
      <c r="C2" s="174" t="s">
        <v>235</v>
      </c>
      <c r="D2" s="175" t="s">
        <v>236</v>
      </c>
      <c r="E2" s="175" t="s">
        <v>237</v>
      </c>
      <c r="F2" s="175" t="s">
        <v>238</v>
      </c>
      <c r="G2" s="175" t="s">
        <v>239</v>
      </c>
      <c r="H2" s="175" t="s">
        <v>240</v>
      </c>
      <c r="I2" s="175" t="s">
        <v>241</v>
      </c>
      <c r="J2" s="175" t="s">
        <v>242</v>
      </c>
      <c r="K2" s="175" t="s">
        <v>243</v>
      </c>
      <c r="L2" s="178" t="s">
        <v>244</v>
      </c>
    </row>
    <row r="3" ht="25" customHeight="1" spans="1:12">
      <c r="A3" s="176" t="s">
        <v>245</v>
      </c>
      <c r="B3" s="176" t="s">
        <v>59</v>
      </c>
      <c r="C3" s="177">
        <f>ROUND('[3]表6资金使用成效（预算执行率）原稿'!C32,2)</f>
        <v>0.78</v>
      </c>
      <c r="D3" s="177">
        <f>ROUND('[3]表6资金使用成效（预算执行率）原稿'!D32,2)</f>
        <v>0</v>
      </c>
      <c r="E3" s="177">
        <f>ROUND('[3]表6资金使用成效（预算执行率）原稿'!E32,2)</f>
        <v>0</v>
      </c>
      <c r="F3" s="177">
        <f>ROUND('[3]表6资金使用成效（预算执行率）原稿'!F32,2)</f>
        <v>0.78</v>
      </c>
      <c r="G3" s="177">
        <f>ROUND('[3]表6资金使用成效（预算执行率）原稿'!G32,2)</f>
        <v>3229.5</v>
      </c>
      <c r="H3" s="177">
        <f>ROUND('[3]表6资金使用成效（预算执行率）原稿'!H32,2)</f>
        <v>365</v>
      </c>
      <c r="I3" s="177">
        <f>ROUND('[3]表6资金使用成效（预算执行率）原稿'!I32,2)</f>
        <v>1361</v>
      </c>
      <c r="J3" s="177">
        <f>ROUND('[3]表6资金使用成效（预算执行率）原稿'!J32,2)</f>
        <v>981</v>
      </c>
      <c r="K3" s="177">
        <f>ROUND('[3]表6资金使用成效（预算执行率）原稿'!K32,2)</f>
        <v>522.5</v>
      </c>
      <c r="L3" s="172">
        <f>1-F3/G3</f>
        <v>0.999758476544357</v>
      </c>
    </row>
    <row r="4" ht="27" customHeight="1" spans="1:12">
      <c r="A4" s="176" t="s">
        <v>246</v>
      </c>
      <c r="B4" s="176" t="s">
        <v>101</v>
      </c>
      <c r="C4" s="177">
        <f>ROUND('[3]表6资金使用成效（预算执行率）原稿'!C33,2)</f>
        <v>207.11</v>
      </c>
      <c r="D4" s="177">
        <f>ROUND('[3]表6资金使用成效（预算执行率）原稿'!D33,2)</f>
        <v>0</v>
      </c>
      <c r="E4" s="177">
        <f>ROUND('[3]表6资金使用成效（预算执行率）原稿'!E33,2)</f>
        <v>0</v>
      </c>
      <c r="F4" s="177">
        <f>ROUND('[3]表6资金使用成效（预算执行率）原稿'!F33,2)</f>
        <v>207.11</v>
      </c>
      <c r="G4" s="177">
        <f>ROUND('[3]表6资金使用成效（预算执行率）原稿'!G33,2)</f>
        <v>6290.49</v>
      </c>
      <c r="H4" s="177">
        <f>ROUND('[3]表6资金使用成效（预算执行率）原稿'!H33,2)</f>
        <v>4273</v>
      </c>
      <c r="I4" s="177">
        <f>ROUND('[3]表6资金使用成效（预算执行率）原稿'!I33,2)</f>
        <v>1040</v>
      </c>
      <c r="J4" s="177">
        <f>ROUND('[3]表6资金使用成效（预算执行率）原稿'!J33,2)</f>
        <v>17.33</v>
      </c>
      <c r="K4" s="177">
        <f>ROUND('[3]表6资金使用成效（预算执行率）原稿'!K33,2)</f>
        <v>960.16</v>
      </c>
      <c r="L4" s="172">
        <f t="shared" ref="L3:L66" si="0">1-F4/G4</f>
        <v>0.967075696805813</v>
      </c>
    </row>
    <row r="5" ht="14.25" spans="1:12">
      <c r="A5" s="176" t="s">
        <v>247</v>
      </c>
      <c r="B5" s="176" t="s">
        <v>163</v>
      </c>
      <c r="C5" s="177">
        <f>ROUND('[3]表6资金使用成效（预算执行率）原稿'!C34,2)</f>
        <v>2832.86</v>
      </c>
      <c r="D5" s="177">
        <f>ROUND('[3]表6资金使用成效（预算执行率）原稿'!D34,2)</f>
        <v>0</v>
      </c>
      <c r="E5" s="177">
        <f>ROUND('[3]表6资金使用成效（预算执行率）原稿'!E34,2)</f>
        <v>153.09</v>
      </c>
      <c r="F5" s="177">
        <f>ROUND('[3]表6资金使用成效（预算执行率）原稿'!F34,2)</f>
        <v>2679.77</v>
      </c>
      <c r="G5" s="177">
        <f>ROUND('[3]表6资金使用成效（预算执行率）原稿'!G34,2)</f>
        <v>15443.27</v>
      </c>
      <c r="H5" s="177">
        <f>ROUND('[3]表6资金使用成效（预算执行率）原稿'!H34,2)</f>
        <v>5457</v>
      </c>
      <c r="I5" s="177">
        <f>ROUND('[3]表6资金使用成效（预算执行率）原稿'!I34,2)</f>
        <v>2178</v>
      </c>
      <c r="J5" s="177">
        <f>ROUND('[3]表6资金使用成效（预算执行率）原稿'!J34,2)</f>
        <v>638.27</v>
      </c>
      <c r="K5" s="177">
        <f>ROUND('[3]表6资金使用成效（预算执行率）原稿'!K34,2)</f>
        <v>7170</v>
      </c>
      <c r="L5" s="172">
        <f t="shared" si="0"/>
        <v>0.826476516955282</v>
      </c>
    </row>
    <row r="6" ht="14.25" spans="1:12">
      <c r="A6" s="176" t="s">
        <v>248</v>
      </c>
      <c r="B6" s="176" t="s">
        <v>178</v>
      </c>
      <c r="C6" s="177">
        <f>ROUND('[3]表6资金使用成效（预算执行率）原稿'!C35,2)</f>
        <v>412.73</v>
      </c>
      <c r="D6" s="177">
        <f>ROUND('[3]表6资金使用成效（预算执行率）原稿'!D35,2)</f>
        <v>0</v>
      </c>
      <c r="E6" s="177">
        <f>ROUND('[3]表6资金使用成效（预算执行率）原稿'!E35,2)</f>
        <v>0</v>
      </c>
      <c r="F6" s="177">
        <f>ROUND('[3]表6资金使用成效（预算执行率）原稿'!F35,2)</f>
        <v>412.73</v>
      </c>
      <c r="G6" s="177">
        <f>ROUND('[3]表6资金使用成效（预算执行率）原稿'!G35,2)</f>
        <v>6150.9</v>
      </c>
      <c r="H6" s="177">
        <f>ROUND('[3]表6资金使用成效（预算执行率）原稿'!H35,2)</f>
        <v>2199</v>
      </c>
      <c r="I6" s="177">
        <f>ROUND('[3]表6资金使用成效（预算执行率）原稿'!I35,2)</f>
        <v>1383</v>
      </c>
      <c r="J6" s="177">
        <f>ROUND('[3]表6资金使用成效（预算执行率）原稿'!J35,2)</f>
        <v>241</v>
      </c>
      <c r="K6" s="177">
        <f>ROUND('[3]表6资金使用成效（预算执行率）原稿'!K35,2)</f>
        <v>2327.9</v>
      </c>
      <c r="L6" s="172">
        <f t="shared" si="0"/>
        <v>0.932899250516185</v>
      </c>
    </row>
    <row r="7" ht="14.25" spans="1:12">
      <c r="A7" s="176" t="s">
        <v>249</v>
      </c>
      <c r="B7" s="176" t="s">
        <v>179</v>
      </c>
      <c r="C7" s="177">
        <f>ROUND('[3]表6资金使用成效（预算执行率）原稿'!C36,2)</f>
        <v>812.08</v>
      </c>
      <c r="D7" s="177">
        <f>ROUND('[3]表6资金使用成效（预算执行率）原稿'!D36,2)</f>
        <v>0</v>
      </c>
      <c r="E7" s="177">
        <f>ROUND('[3]表6资金使用成效（预算执行率）原稿'!E36,2)</f>
        <v>28</v>
      </c>
      <c r="F7" s="177">
        <f>ROUND('[3]表6资金使用成效（预算执行率）原稿'!F36,2)</f>
        <v>784.08</v>
      </c>
      <c r="G7" s="177">
        <f>ROUND('[3]表6资金使用成效（预算执行率）原稿'!G36,2)</f>
        <v>7994</v>
      </c>
      <c r="H7" s="177">
        <f>ROUND('[3]表6资金使用成效（预算执行率）原稿'!H36,2)</f>
        <v>5147</v>
      </c>
      <c r="I7" s="177">
        <f>ROUND('[3]表6资金使用成效（预算执行率）原稿'!I36,2)</f>
        <v>1877</v>
      </c>
      <c r="J7" s="177">
        <f>ROUND('[3]表6资金使用成效（预算执行率）原稿'!J36,2)</f>
        <v>970</v>
      </c>
      <c r="K7" s="177">
        <f>ROUND('[3]表6资金使用成效（预算执行率）原稿'!K36,2)</f>
        <v>0</v>
      </c>
      <c r="L7" s="172">
        <f t="shared" si="0"/>
        <v>0.901916437327996</v>
      </c>
    </row>
    <row r="8" ht="14.25" spans="1:12">
      <c r="A8" s="176" t="s">
        <v>250</v>
      </c>
      <c r="B8" s="176" t="s">
        <v>180</v>
      </c>
      <c r="C8" s="177">
        <f>ROUND('[3]表6资金使用成效（预算执行率）原稿'!C37,2)</f>
        <v>717.22</v>
      </c>
      <c r="D8" s="177">
        <f>ROUND('[3]表6资金使用成效（预算执行率）原稿'!D37,2)</f>
        <v>0</v>
      </c>
      <c r="E8" s="177">
        <f>ROUND('[3]表6资金使用成效（预算执行率）原稿'!E37,2)</f>
        <v>0</v>
      </c>
      <c r="F8" s="177">
        <f>ROUND('[3]表6资金使用成效（预算执行率）原稿'!F37,2)</f>
        <v>717.22</v>
      </c>
      <c r="G8" s="177">
        <f>ROUND('[3]表6资金使用成效（预算执行率）原稿'!G37,2)</f>
        <v>7352</v>
      </c>
      <c r="H8" s="177">
        <f>ROUND('[3]表6资金使用成效（预算执行率）原稿'!H37,2)</f>
        <v>5169</v>
      </c>
      <c r="I8" s="177">
        <f>ROUND('[3]表6资金使用成效（预算执行率）原稿'!I37,2)</f>
        <v>806</v>
      </c>
      <c r="J8" s="177">
        <f>ROUND('[3]表6资金使用成效（预算执行率）原稿'!J37,2)</f>
        <v>377</v>
      </c>
      <c r="K8" s="177">
        <f>ROUND('[3]表6资金使用成效（预算执行率）原稿'!K37,2)</f>
        <v>1000</v>
      </c>
      <c r="L8" s="172">
        <f t="shared" si="0"/>
        <v>0.902445593035909</v>
      </c>
    </row>
    <row r="9" ht="14.25" spans="1:12">
      <c r="A9" s="176" t="s">
        <v>251</v>
      </c>
      <c r="B9" s="176" t="s">
        <v>181</v>
      </c>
      <c r="C9" s="177">
        <f>ROUND('[3]表6资金使用成效（预算执行率）原稿'!C38,2)</f>
        <v>513</v>
      </c>
      <c r="D9" s="177">
        <f>ROUND('[3]表6资金使用成效（预算执行率）原稿'!D38,2)</f>
        <v>0</v>
      </c>
      <c r="E9" s="177">
        <f>ROUND('[3]表6资金使用成效（预算执行率）原稿'!E38,2)</f>
        <v>0</v>
      </c>
      <c r="F9" s="177">
        <f>ROUND('[3]表6资金使用成效（预算执行率）原稿'!F38,2)</f>
        <v>513</v>
      </c>
      <c r="G9" s="177">
        <f>ROUND('[3]表6资金使用成效（预算执行率）原稿'!G38,2)</f>
        <v>6743</v>
      </c>
      <c r="H9" s="177">
        <f>ROUND('[3]表6资金使用成效（预算执行率）原稿'!H38,2)</f>
        <v>5376</v>
      </c>
      <c r="I9" s="177">
        <f>ROUND('[3]表6资金使用成效（预算执行率）原稿'!I38,2)</f>
        <v>941</v>
      </c>
      <c r="J9" s="177">
        <f>ROUND('[3]表6资金使用成效（预算执行率）原稿'!J38,2)</f>
        <v>426</v>
      </c>
      <c r="K9" s="177">
        <f>ROUND('[3]表6资金使用成效（预算执行率）原稿'!K38,2)</f>
        <v>0</v>
      </c>
      <c r="L9" s="172">
        <f t="shared" si="0"/>
        <v>0.923921103366454</v>
      </c>
    </row>
    <row r="10" ht="14.25" spans="1:12">
      <c r="A10" s="176" t="s">
        <v>252</v>
      </c>
      <c r="B10" s="176" t="s">
        <v>182</v>
      </c>
      <c r="C10" s="177">
        <f>ROUND('[3]表6资金使用成效（预算执行率）原稿'!C39,2)</f>
        <v>827.1</v>
      </c>
      <c r="D10" s="177">
        <f>ROUND('[3]表6资金使用成效（预算执行率）原稿'!D39,2)</f>
        <v>0</v>
      </c>
      <c r="E10" s="177">
        <f>ROUND('[3]表6资金使用成效（预算执行率）原稿'!E39,2)</f>
        <v>0</v>
      </c>
      <c r="F10" s="177">
        <f>ROUND('[3]表6资金使用成效（预算执行率）原稿'!F39,2)</f>
        <v>827.1</v>
      </c>
      <c r="G10" s="177">
        <f>ROUND('[3]表6资金使用成效（预算执行率）原稿'!G39,2)</f>
        <v>17602</v>
      </c>
      <c r="H10" s="177">
        <f>ROUND('[3]表6资金使用成效（预算执行率）原稿'!H39,2)</f>
        <v>13479</v>
      </c>
      <c r="I10" s="177">
        <f>ROUND('[3]表6资金使用成效（预算执行率）原稿'!I39,2)</f>
        <v>2726</v>
      </c>
      <c r="J10" s="177">
        <f>ROUND('[3]表6资金使用成效（预算执行率）原稿'!J39,2)</f>
        <v>493</v>
      </c>
      <c r="K10" s="177">
        <f>ROUND('[3]表6资金使用成效（预算执行率）原稿'!K39,2)</f>
        <v>904</v>
      </c>
      <c r="L10" s="172">
        <f t="shared" si="0"/>
        <v>0.953011021474832</v>
      </c>
    </row>
    <row r="11" ht="14.25" spans="1:12">
      <c r="A11" s="176" t="s">
        <v>253</v>
      </c>
      <c r="B11" s="176" t="s">
        <v>183</v>
      </c>
      <c r="C11" s="177">
        <f>ROUND('[3]表6资金使用成效（预算执行率）原稿'!C40,2)</f>
        <v>1597.07</v>
      </c>
      <c r="D11" s="177">
        <f>ROUND('[3]表6资金使用成效（预算执行率）原稿'!D40,2)</f>
        <v>0</v>
      </c>
      <c r="E11" s="177">
        <f>ROUND('[3]表6资金使用成效（预算执行率）原稿'!E40,2)</f>
        <v>0</v>
      </c>
      <c r="F11" s="177">
        <f>ROUND('[3]表6资金使用成效（预算执行率）原稿'!F40,2)</f>
        <v>1597.07</v>
      </c>
      <c r="G11" s="177">
        <f>ROUND('[3]表6资金使用成效（预算执行率）原稿'!G40,2)</f>
        <v>16443.07</v>
      </c>
      <c r="H11" s="177">
        <f>ROUND('[3]表6资金使用成效（预算执行率）原稿'!H40,2)</f>
        <v>12665</v>
      </c>
      <c r="I11" s="177">
        <f>ROUND('[3]表6资金使用成效（预算执行率）原稿'!I40,2)</f>
        <v>3223</v>
      </c>
      <c r="J11" s="177">
        <f>ROUND('[3]表6资金使用成效（预算执行率）原稿'!J40,2)</f>
        <v>454</v>
      </c>
      <c r="K11" s="177">
        <f>ROUND('[3]表6资金使用成效（预算执行率）原稿'!K40,2)</f>
        <v>101.07</v>
      </c>
      <c r="L11" s="172">
        <f t="shared" si="0"/>
        <v>0.902872760378688</v>
      </c>
    </row>
    <row r="12" ht="14.25" spans="1:12">
      <c r="A12" s="176" t="s">
        <v>254</v>
      </c>
      <c r="B12" s="176" t="s">
        <v>184</v>
      </c>
      <c r="C12" s="177">
        <f>ROUND('[3]表6资金使用成效（预算执行率）原稿'!C41,2)</f>
        <v>950.9</v>
      </c>
      <c r="D12" s="177">
        <f>ROUND('[3]表6资金使用成效（预算执行率）原稿'!D41,2)</f>
        <v>0</v>
      </c>
      <c r="E12" s="177">
        <f>ROUND('[3]表6资金使用成效（预算执行率）原稿'!E41,2)</f>
        <v>0</v>
      </c>
      <c r="F12" s="177">
        <f>ROUND('[3]表6资金使用成效（预算执行率）原稿'!F41,2)</f>
        <v>950.9</v>
      </c>
      <c r="G12" s="177">
        <f>ROUND('[3]表6资金使用成效（预算执行率）原稿'!G41,2)</f>
        <v>9574</v>
      </c>
      <c r="H12" s="177">
        <f>ROUND('[3]表6资金使用成效（预算执行率）原稿'!H41,2)</f>
        <v>8107</v>
      </c>
      <c r="I12" s="177">
        <f>ROUND('[3]表6资金使用成效（预算执行率）原稿'!I41,2)</f>
        <v>1042</v>
      </c>
      <c r="J12" s="177">
        <f>ROUND('[3]表6资金使用成效（预算执行率）原稿'!J41,2)</f>
        <v>425</v>
      </c>
      <c r="K12" s="177">
        <f>ROUND('[3]表6资金使用成效（预算执行率）原稿'!K41,2)</f>
        <v>0</v>
      </c>
      <c r="L12" s="172">
        <f t="shared" si="0"/>
        <v>0.900678922080635</v>
      </c>
    </row>
    <row r="13" ht="14.25" spans="1:12">
      <c r="A13" s="176" t="s">
        <v>255</v>
      </c>
      <c r="B13" s="176" t="s">
        <v>185</v>
      </c>
      <c r="C13" s="177">
        <f>ROUND('[3]表6资金使用成效（预算执行率）原稿'!C42,2)</f>
        <v>953.86</v>
      </c>
      <c r="D13" s="177">
        <f>ROUND('[3]表6资金使用成效（预算执行率）原稿'!D42,2)</f>
        <v>0</v>
      </c>
      <c r="E13" s="177">
        <f>ROUND('[3]表6资金使用成效（预算执行率）原稿'!E42,2)</f>
        <v>0</v>
      </c>
      <c r="F13" s="177">
        <f>ROUND('[3]表6资金使用成效（预算执行率）原稿'!F42,2)</f>
        <v>953.86</v>
      </c>
      <c r="G13" s="177">
        <f>ROUND('[3]表6资金使用成效（预算执行率）原稿'!G42,2)</f>
        <v>9593</v>
      </c>
      <c r="H13" s="177">
        <f>ROUND('[3]表6资金使用成效（预算执行率）原稿'!H42,2)</f>
        <v>7178</v>
      </c>
      <c r="I13" s="177">
        <f>ROUND('[3]表6资金使用成效（预算执行率）原稿'!I42,2)</f>
        <v>1870</v>
      </c>
      <c r="J13" s="177">
        <f>ROUND('[3]表6资金使用成效（预算执行率）原稿'!J42,2)</f>
        <v>435</v>
      </c>
      <c r="K13" s="177">
        <f>ROUND('[3]表6资金使用成效（预算执行率）原稿'!K42,2)</f>
        <v>110</v>
      </c>
      <c r="L13" s="172">
        <f t="shared" si="0"/>
        <v>0.900567080162619</v>
      </c>
    </row>
    <row r="14" ht="14.25" spans="1:12">
      <c r="A14" s="176" t="s">
        <v>256</v>
      </c>
      <c r="B14" s="176" t="s">
        <v>186</v>
      </c>
      <c r="C14" s="177">
        <f>ROUND('[3]表6资金使用成效（预算执行率）原稿'!C43,2)</f>
        <v>1881.1</v>
      </c>
      <c r="D14" s="177">
        <f>ROUND('[3]表6资金使用成效（预算执行率）原稿'!D43,2)</f>
        <v>0</v>
      </c>
      <c r="E14" s="177">
        <f>ROUND('[3]表6资金使用成效（预算执行率）原稿'!E43,2)</f>
        <v>0</v>
      </c>
      <c r="F14" s="177">
        <f>ROUND('[3]表6资金使用成效（预算执行率）原稿'!F43,2)</f>
        <v>1881.1</v>
      </c>
      <c r="G14" s="177">
        <f>ROUND('[3]表6资金使用成效（预算执行率）原稿'!G43,2)</f>
        <v>14583.95</v>
      </c>
      <c r="H14" s="177">
        <f>ROUND('[3]表6资金使用成效（预算执行率）原稿'!H43,2)</f>
        <v>11254</v>
      </c>
      <c r="I14" s="177">
        <f>ROUND('[3]表6资金使用成效（预算执行率）原稿'!I43,2)</f>
        <v>2539</v>
      </c>
      <c r="J14" s="177">
        <f>ROUND('[3]表6资金使用成效（预算执行率）原稿'!J43,2)</f>
        <v>758</v>
      </c>
      <c r="K14" s="177">
        <f>ROUND('[3]表6资金使用成效（预算执行率）原稿'!K43,2)</f>
        <v>32.95</v>
      </c>
      <c r="L14" s="172">
        <f t="shared" si="0"/>
        <v>0.871015739905855</v>
      </c>
    </row>
    <row r="15" ht="14.25" spans="1:12">
      <c r="A15" s="176" t="s">
        <v>257</v>
      </c>
      <c r="B15" s="176" t="s">
        <v>102</v>
      </c>
      <c r="C15" s="177">
        <f>ROUND('[3]表6资金使用成效（预算执行率）原稿'!C44,2)</f>
        <v>82.19</v>
      </c>
      <c r="D15" s="177">
        <f>ROUND('[3]表6资金使用成效（预算执行率）原稿'!D44,2)</f>
        <v>0</v>
      </c>
      <c r="E15" s="177">
        <f>ROUND('[3]表6资金使用成效（预算执行率）原稿'!E44,2)</f>
        <v>0</v>
      </c>
      <c r="F15" s="177">
        <f>ROUND('[3]表6资金使用成效（预算执行率）原稿'!F44,2)</f>
        <v>82.19</v>
      </c>
      <c r="G15" s="177">
        <f>ROUND('[3]表6资金使用成效（预算执行率）原稿'!G44,2)</f>
        <v>6529.11</v>
      </c>
      <c r="H15" s="177">
        <f>ROUND('[3]表6资金使用成效（预算执行率）原稿'!H44,2)</f>
        <v>3594</v>
      </c>
      <c r="I15" s="177">
        <f>ROUND('[3]表6资金使用成效（预算执行率）原稿'!I44,2)</f>
        <v>2613</v>
      </c>
      <c r="J15" s="177">
        <f>ROUND('[3]表6资金使用成效（预算执行率）原稿'!J44,2)</f>
        <v>22.11</v>
      </c>
      <c r="K15" s="177">
        <f>ROUND('[3]表6资金使用成效（预算执行率）原稿'!K44,2)</f>
        <v>300</v>
      </c>
      <c r="L15" s="172">
        <f t="shared" si="0"/>
        <v>0.987411760561547</v>
      </c>
    </row>
    <row r="16" ht="14.25" spans="1:12">
      <c r="A16" s="176" t="s">
        <v>258</v>
      </c>
      <c r="B16" s="176" t="s">
        <v>187</v>
      </c>
      <c r="C16" s="177">
        <f>ROUND('[3]表6资金使用成效（预算执行率）原稿'!C45,2)</f>
        <v>831.42</v>
      </c>
      <c r="D16" s="177">
        <f>ROUND('[3]表6资金使用成效（预算执行率）原稿'!D45,2)</f>
        <v>0</v>
      </c>
      <c r="E16" s="177">
        <f>ROUND('[3]表6资金使用成效（预算执行率）原稿'!E45,2)</f>
        <v>57</v>
      </c>
      <c r="F16" s="177">
        <f>ROUND('[3]表6资金使用成效（预算执行率）原稿'!F45,2)</f>
        <v>774.42</v>
      </c>
      <c r="G16" s="177">
        <f>ROUND('[3]表6资金使用成效（预算执行率）原稿'!G45,2)</f>
        <v>8024</v>
      </c>
      <c r="H16" s="177">
        <f>ROUND('[3]表6资金使用成效（预算执行率）原稿'!H45,2)</f>
        <v>6449</v>
      </c>
      <c r="I16" s="177">
        <f>ROUND('[3]表6资金使用成效（预算执行率）原稿'!I45,2)</f>
        <v>605</v>
      </c>
      <c r="J16" s="177">
        <f>ROUND('[3]表6资金使用成效（预算执行率）原稿'!J45,2)</f>
        <v>970</v>
      </c>
      <c r="K16" s="177">
        <f>ROUND('[3]表6资金使用成效（预算执行率）原稿'!K45,2)</f>
        <v>0</v>
      </c>
      <c r="L16" s="172">
        <f t="shared" si="0"/>
        <v>0.90348703888335</v>
      </c>
    </row>
    <row r="17" ht="14.25" spans="1:12">
      <c r="A17" s="176" t="s">
        <v>259</v>
      </c>
      <c r="B17" s="176" t="s">
        <v>188</v>
      </c>
      <c r="C17" s="177">
        <f>ROUND('[3]表6资金使用成效（预算执行率）原稿'!C46,2)</f>
        <v>689.45</v>
      </c>
      <c r="D17" s="177">
        <f>ROUND('[3]表6资金使用成效（预算执行率）原稿'!D46,2)</f>
        <v>0</v>
      </c>
      <c r="E17" s="177">
        <f>ROUND('[3]表6资金使用成效（预算执行率）原稿'!E46,2)</f>
        <v>0</v>
      </c>
      <c r="F17" s="177">
        <f>ROUND('[3]表6资金使用成效（预算执行率）原稿'!F46,2)</f>
        <v>689.45</v>
      </c>
      <c r="G17" s="177">
        <f>ROUND('[3]表6资金使用成效（预算执行率）原稿'!G46,2)</f>
        <v>14416</v>
      </c>
      <c r="H17" s="177">
        <f>ROUND('[3]表6资金使用成效（预算执行率）原稿'!H46,2)</f>
        <v>11283</v>
      </c>
      <c r="I17" s="177">
        <f>ROUND('[3]表6资金使用成效（预算执行率）原稿'!I46,2)</f>
        <v>2694</v>
      </c>
      <c r="J17" s="177">
        <f>ROUND('[3]表6资金使用成效（预算执行率）原稿'!J46,2)</f>
        <v>439</v>
      </c>
      <c r="K17" s="177">
        <f>ROUND('[3]表6资金使用成效（预算执行率）原稿'!K46,2)</f>
        <v>0</v>
      </c>
      <c r="L17" s="172">
        <f t="shared" si="0"/>
        <v>0.952174667036626</v>
      </c>
    </row>
    <row r="18" ht="14.25" spans="1:12">
      <c r="A18" s="176" t="s">
        <v>260</v>
      </c>
      <c r="B18" s="176" t="s">
        <v>189</v>
      </c>
      <c r="C18" s="177">
        <f>ROUND('[3]表6资金使用成效（预算执行率）原稿'!C47,2)</f>
        <v>53.06</v>
      </c>
      <c r="D18" s="177">
        <f>ROUND('[3]表6资金使用成效（预算执行率）原稿'!D47,2)</f>
        <v>0</v>
      </c>
      <c r="E18" s="177">
        <f>ROUND('[3]表6资金使用成效（预算执行率）原稿'!E47,2)</f>
        <v>0</v>
      </c>
      <c r="F18" s="177">
        <f>ROUND('[3]表6资金使用成效（预算执行率）原稿'!F47,2)</f>
        <v>53.06</v>
      </c>
      <c r="G18" s="177">
        <f>ROUND('[3]表6资金使用成效（预算执行率）原稿'!G47,2)</f>
        <v>8620.17</v>
      </c>
      <c r="H18" s="177">
        <f>ROUND('[3]表6资金使用成效（预算执行率）原稿'!H47,2)</f>
        <v>6004</v>
      </c>
      <c r="I18" s="177">
        <f>ROUND('[3]表6资金使用成效（预算执行率）原稿'!I47,2)</f>
        <v>1334</v>
      </c>
      <c r="J18" s="177">
        <f>ROUND('[3]表6资金使用成效（预算执行率）原稿'!J47,2)</f>
        <v>602</v>
      </c>
      <c r="K18" s="177">
        <f>ROUND('[3]表6资金使用成效（预算执行率）原稿'!K47,2)</f>
        <v>680.17</v>
      </c>
      <c r="L18" s="172">
        <f t="shared" si="0"/>
        <v>0.993844668956645</v>
      </c>
    </row>
    <row r="19" ht="14.25" spans="1:12">
      <c r="A19" s="176" t="s">
        <v>261</v>
      </c>
      <c r="B19" s="176" t="s">
        <v>199</v>
      </c>
      <c r="C19" s="177">
        <f>ROUND('[3]表6资金使用成效（预算执行率）原稿'!C48,2)</f>
        <v>761.38</v>
      </c>
      <c r="D19" s="177">
        <f>ROUND('[3]表6资金使用成效（预算执行率）原稿'!D48,2)</f>
        <v>0</v>
      </c>
      <c r="E19" s="177">
        <f>ROUND('[3]表6资金使用成效（预算执行率）原稿'!E48,2)</f>
        <v>0</v>
      </c>
      <c r="F19" s="177">
        <f>ROUND('[3]表6资金使用成效（预算执行率）原稿'!F48,2)</f>
        <v>761.38</v>
      </c>
      <c r="G19" s="177">
        <f>ROUND('[3]表6资金使用成效（预算执行率）原稿'!G48,2)</f>
        <v>11254.6</v>
      </c>
      <c r="H19" s="177">
        <f>ROUND('[3]表6资金使用成效（预算执行率）原稿'!H48,2)</f>
        <v>1918.36</v>
      </c>
      <c r="I19" s="177">
        <f>ROUND('[3]表6资金使用成效（预算执行率）原稿'!I48,2)</f>
        <v>3415</v>
      </c>
      <c r="J19" s="177">
        <f>ROUND('[3]表6资金使用成效（预算执行率）原稿'!J48,2)</f>
        <v>367.93</v>
      </c>
      <c r="K19" s="177">
        <f>ROUND('[3]表6资金使用成效（预算执行率）原稿'!K48,2)</f>
        <v>5553.31</v>
      </c>
      <c r="L19" s="172">
        <f t="shared" si="0"/>
        <v>0.932349439340359</v>
      </c>
    </row>
    <row r="20" ht="14.25" spans="1:12">
      <c r="A20" s="176" t="s">
        <v>262</v>
      </c>
      <c r="B20" s="176" t="s">
        <v>200</v>
      </c>
      <c r="C20" s="177">
        <f>ROUND('[3]表6资金使用成效（预算执行率）原稿'!C49,2)</f>
        <v>654.76</v>
      </c>
      <c r="D20" s="177">
        <f>ROUND('[3]表6资金使用成效（预算执行率）原稿'!D49,2)</f>
        <v>0</v>
      </c>
      <c r="E20" s="177">
        <f>ROUND('[3]表6资金使用成效（预算执行率）原稿'!E49,2)</f>
        <v>0</v>
      </c>
      <c r="F20" s="177">
        <f>ROUND('[3]表6资金使用成效（预算执行率）原稿'!F49,2)</f>
        <v>654.76</v>
      </c>
      <c r="G20" s="177">
        <f>ROUND('[3]表6资金使用成效（预算执行率）原稿'!G49,2)</f>
        <v>8931.4</v>
      </c>
      <c r="H20" s="177">
        <f>ROUND('[3]表6资金使用成效（预算执行率）原稿'!H49,2)</f>
        <v>4979</v>
      </c>
      <c r="I20" s="177">
        <f>ROUND('[3]表6资金使用成效（预算执行率）原稿'!I49,2)</f>
        <v>687</v>
      </c>
      <c r="J20" s="177">
        <f>ROUND('[3]表6资金使用成效（预算执行率）原稿'!J49,2)</f>
        <v>602.8</v>
      </c>
      <c r="K20" s="177">
        <f>ROUND('[3]表6资金使用成效（预算执行率）原稿'!K49,2)</f>
        <v>2662.6</v>
      </c>
      <c r="L20" s="172">
        <f t="shared" si="0"/>
        <v>0.926690104574871</v>
      </c>
    </row>
    <row r="21" ht="14.25" spans="1:12">
      <c r="A21" s="176" t="s">
        <v>263</v>
      </c>
      <c r="B21" s="176" t="s">
        <v>201</v>
      </c>
      <c r="C21" s="177">
        <f>ROUND('[3]表6资金使用成效（预算执行率）原稿'!C50,2)</f>
        <v>1249.69</v>
      </c>
      <c r="D21" s="177">
        <f>ROUND('[3]表6资金使用成效（预算执行率）原稿'!D50,2)</f>
        <v>0</v>
      </c>
      <c r="E21" s="177">
        <f>ROUND('[3]表6资金使用成效（预算执行率）原稿'!E50,2)</f>
        <v>0</v>
      </c>
      <c r="F21" s="177">
        <f>ROUND('[3]表6资金使用成效（预算执行率）原稿'!F50,2)</f>
        <v>1249.69</v>
      </c>
      <c r="G21" s="177">
        <f>ROUND('[3]表6资金使用成效（预算执行率）原稿'!G50,2)</f>
        <v>16113.55</v>
      </c>
      <c r="H21" s="177">
        <f>ROUND('[3]表6资金使用成效（预算执行率）原稿'!H50,2)</f>
        <v>11016.64</v>
      </c>
      <c r="I21" s="177">
        <f>ROUND('[3]表6资金使用成效（预算执行率）原稿'!I50,2)</f>
        <v>2619</v>
      </c>
      <c r="J21" s="177">
        <f>ROUND('[3]表6资金使用成效（预算执行率）原稿'!J50,2)</f>
        <v>366.69</v>
      </c>
      <c r="K21" s="177">
        <f>ROUND('[3]表6资金使用成效（预算执行率）原稿'!K50,2)</f>
        <v>2111.22</v>
      </c>
      <c r="L21" s="172">
        <f t="shared" si="0"/>
        <v>0.922444774739272</v>
      </c>
    </row>
    <row r="22" ht="14.25" spans="1:12">
      <c r="A22" s="176" t="s">
        <v>264</v>
      </c>
      <c r="B22" s="176" t="s">
        <v>202</v>
      </c>
      <c r="C22" s="177">
        <f>ROUND('[3]表6资金使用成效（预算执行率）原稿'!C51,2)</f>
        <v>907.37</v>
      </c>
      <c r="D22" s="177">
        <f>ROUND('[3]表6资金使用成效（预算执行率）原稿'!D51,2)</f>
        <v>0</v>
      </c>
      <c r="E22" s="177">
        <f>ROUND('[3]表6资金使用成效（预算执行率）原稿'!E51,2)</f>
        <v>0</v>
      </c>
      <c r="F22" s="177">
        <f>ROUND('[3]表6资金使用成效（预算执行率）原稿'!F51,2)</f>
        <v>907.37</v>
      </c>
      <c r="G22" s="177">
        <f>ROUND('[3]表6资金使用成效（预算执行率）原稿'!G51,2)</f>
        <v>13186.33</v>
      </c>
      <c r="H22" s="177">
        <f>ROUND('[3]表6资金使用成效（预算执行率）原稿'!H51,2)</f>
        <v>9068</v>
      </c>
      <c r="I22" s="177">
        <f>ROUND('[3]表6资金使用成效（预算执行率）原稿'!I51,2)</f>
        <v>1753</v>
      </c>
      <c r="J22" s="177">
        <f>ROUND('[3]表6资金使用成效（预算执行率）原稿'!J51,2)</f>
        <v>438.77</v>
      </c>
      <c r="K22" s="177">
        <f>ROUND('[3]表6资金使用成效（预算执行率）原稿'!K51,2)</f>
        <v>1926.56</v>
      </c>
      <c r="L22" s="172">
        <f t="shared" si="0"/>
        <v>0.931188586968474</v>
      </c>
    </row>
    <row r="23" ht="14.25" spans="1:12">
      <c r="A23" s="176" t="s">
        <v>265</v>
      </c>
      <c r="B23" s="176" t="s">
        <v>203</v>
      </c>
      <c r="C23" s="177">
        <f>ROUND('[3]表6资金使用成效（预算执行率）原稿'!C52,2)</f>
        <v>1286.51</v>
      </c>
      <c r="D23" s="177">
        <f>ROUND('[3]表6资金使用成效（预算执行率）原稿'!D52,2)</f>
        <v>0</v>
      </c>
      <c r="E23" s="177">
        <f>ROUND('[3]表6资金使用成效（预算执行率）原稿'!E52,2)</f>
        <v>0</v>
      </c>
      <c r="F23" s="177">
        <f>ROUND('[3]表6资金使用成效（预算执行率）原稿'!F52,2)</f>
        <v>1286.51</v>
      </c>
      <c r="G23" s="177">
        <f>ROUND('[3]表6资金使用成效（预算执行率）原稿'!G52,2)</f>
        <v>17425.32</v>
      </c>
      <c r="H23" s="177">
        <f>ROUND('[3]表6资金使用成效（预算执行率）原稿'!H52,2)</f>
        <v>8978</v>
      </c>
      <c r="I23" s="177">
        <f>ROUND('[3]表6资金使用成效（预算执行率）原稿'!I52,2)</f>
        <v>2046</v>
      </c>
      <c r="J23" s="177">
        <f>ROUND('[3]表6资金使用成效（预算执行率）原稿'!J52,2)</f>
        <v>1416.11</v>
      </c>
      <c r="K23" s="177">
        <f>ROUND('[3]表6资金使用成效（预算执行率）原稿'!K52,2)</f>
        <v>4985.21</v>
      </c>
      <c r="L23" s="172">
        <f t="shared" si="0"/>
        <v>0.926170078942596</v>
      </c>
    </row>
    <row r="24" ht="14.25" spans="1:12">
      <c r="A24" s="176" t="s">
        <v>266</v>
      </c>
      <c r="B24" s="176" t="s">
        <v>213</v>
      </c>
      <c r="C24" s="177">
        <f>ROUND('[3]表6资金使用成效（预算执行率）原稿'!C53,2)</f>
        <v>1787.65</v>
      </c>
      <c r="D24" s="177">
        <f>ROUND('[3]表6资金使用成效（预算执行率）原稿'!D53,2)</f>
        <v>0</v>
      </c>
      <c r="E24" s="177">
        <f>ROUND('[3]表6资金使用成效（预算执行率）原稿'!E53,2)</f>
        <v>0</v>
      </c>
      <c r="F24" s="177">
        <f>ROUND('[3]表6资金使用成效（预算执行率）原稿'!F53,2)</f>
        <v>1787.65</v>
      </c>
      <c r="G24" s="177">
        <f>ROUND('[3]表6资金使用成效（预算执行率）原稿'!G53,2)</f>
        <v>61268</v>
      </c>
      <c r="H24" s="177">
        <f>ROUND('[3]表6资金使用成效（预算执行率）原稿'!H53,2)</f>
        <v>42427</v>
      </c>
      <c r="I24" s="177">
        <f>ROUND('[3]表6资金使用成效（预算执行率）原稿'!I53,2)</f>
        <v>18841</v>
      </c>
      <c r="J24" s="177">
        <f>ROUND('[3]表6资金使用成效（预算执行率）原稿'!J53,2)</f>
        <v>0</v>
      </c>
      <c r="K24" s="177">
        <f>ROUND('[3]表6资金使用成效（预算执行率）原稿'!K53,2)</f>
        <v>0</v>
      </c>
      <c r="L24" s="172">
        <f t="shared" si="0"/>
        <v>0.970822452177319</v>
      </c>
    </row>
    <row r="25" ht="14.25" spans="1:12">
      <c r="A25" s="176" t="s">
        <v>267</v>
      </c>
      <c r="B25" s="176" t="s">
        <v>214</v>
      </c>
      <c r="C25" s="177">
        <f>ROUND('[3]表6资金使用成效（预算执行率）原稿'!C54,2)</f>
        <v>1056.75</v>
      </c>
      <c r="D25" s="177">
        <f>ROUND('[3]表6资金使用成效（预算执行率）原稿'!D54,2)</f>
        <v>0</v>
      </c>
      <c r="E25" s="177">
        <f>ROUND('[3]表6资金使用成效（预算执行率）原稿'!E54,2)</f>
        <v>0</v>
      </c>
      <c r="F25" s="177">
        <f>ROUND('[3]表6资金使用成效（预算执行率）原稿'!F54,2)</f>
        <v>1056.75</v>
      </c>
      <c r="G25" s="177">
        <f>ROUND('[3]表6资金使用成效（预算执行率）原稿'!G54,2)</f>
        <v>55193</v>
      </c>
      <c r="H25" s="177">
        <f>ROUND('[3]表6资金使用成效（预算执行率）原稿'!H54,2)</f>
        <v>44083</v>
      </c>
      <c r="I25" s="177">
        <f>ROUND('[3]表6资金使用成效（预算执行率）原稿'!I54,2)</f>
        <v>11110</v>
      </c>
      <c r="J25" s="177">
        <f>ROUND('[3]表6资金使用成效（预算执行率）原稿'!J54,2)</f>
        <v>0</v>
      </c>
      <c r="K25" s="177">
        <f>ROUND('[3]表6资金使用成效（预算执行率）原稿'!K54,2)</f>
        <v>0</v>
      </c>
      <c r="L25" s="172">
        <f t="shared" si="0"/>
        <v>0.980853550269056</v>
      </c>
    </row>
    <row r="26" ht="14.25" spans="1:12">
      <c r="A26" s="176" t="s">
        <v>268</v>
      </c>
      <c r="B26" s="176" t="s">
        <v>103</v>
      </c>
      <c r="C26" s="177">
        <f>ROUND('[3]表6资金使用成效（预算执行率）原稿'!C55,2)</f>
        <v>603.9</v>
      </c>
      <c r="D26" s="177">
        <f>ROUND('[3]表6资金使用成效（预算执行率）原稿'!D55,2)</f>
        <v>0</v>
      </c>
      <c r="E26" s="177">
        <f>ROUND('[3]表6资金使用成效（预算执行率）原稿'!E55,2)</f>
        <v>0</v>
      </c>
      <c r="F26" s="177">
        <f>ROUND('[3]表6资金使用成效（预算执行率）原稿'!F55,2)</f>
        <v>603.9</v>
      </c>
      <c r="G26" s="177">
        <f>ROUND('[3]表6资金使用成效（预算执行率）原稿'!G55,2)</f>
        <v>8501.76</v>
      </c>
      <c r="H26" s="177">
        <f>ROUND('[3]表6资金使用成效（预算执行率）原稿'!H55,2)</f>
        <v>5427</v>
      </c>
      <c r="I26" s="177">
        <f>ROUND('[3]表6资金使用成效（预算执行率）原稿'!I55,2)</f>
        <v>1612</v>
      </c>
      <c r="J26" s="177">
        <f>ROUND('[3]表6资金使用成效（预算执行率）原稿'!J55,2)</f>
        <v>72.61</v>
      </c>
      <c r="K26" s="177">
        <f>ROUND('[3]表6资金使用成效（预算执行率）原稿'!K55,2)</f>
        <v>1390.15</v>
      </c>
      <c r="L26" s="172">
        <f t="shared" si="0"/>
        <v>0.928967649051491</v>
      </c>
    </row>
    <row r="27" ht="14.25" spans="1:12">
      <c r="A27" s="176" t="s">
        <v>269</v>
      </c>
      <c r="B27" s="176" t="s">
        <v>215</v>
      </c>
      <c r="C27" s="177">
        <f>ROUND('[3]表6资金使用成效（预算执行率）原稿'!C56,2)</f>
        <v>1320.22</v>
      </c>
      <c r="D27" s="177">
        <f>ROUND('[3]表6资金使用成效（预算执行率）原稿'!D56,2)</f>
        <v>0</v>
      </c>
      <c r="E27" s="177">
        <f>ROUND('[3]表6资金使用成效（预算执行率）原稿'!E56,2)</f>
        <v>0</v>
      </c>
      <c r="F27" s="177">
        <f>ROUND('[3]表6资金使用成效（预算执行率）原稿'!F56,2)</f>
        <v>1320.22</v>
      </c>
      <c r="G27" s="177">
        <f>ROUND('[3]表6资金使用成效（预算执行率）原稿'!G56,2)</f>
        <v>34520.46</v>
      </c>
      <c r="H27" s="177">
        <f>ROUND('[3]表6资金使用成效（预算执行率）原稿'!H56,2)</f>
        <v>26817</v>
      </c>
      <c r="I27" s="177">
        <f>ROUND('[3]表6资金使用成效（预算执行率）原稿'!I56,2)</f>
        <v>7703.46</v>
      </c>
      <c r="J27" s="177">
        <f>ROUND('[3]表6资金使用成效（预算执行率）原稿'!J56,2)</f>
        <v>0</v>
      </c>
      <c r="K27" s="177">
        <f>ROUND('[3]表6资金使用成效（预算执行率）原稿'!K56,2)</f>
        <v>0</v>
      </c>
      <c r="L27" s="172">
        <f t="shared" si="0"/>
        <v>0.961755434313448</v>
      </c>
    </row>
    <row r="28" ht="14.25" spans="1:12">
      <c r="A28" s="176" t="s">
        <v>270</v>
      </c>
      <c r="B28" s="176" t="s">
        <v>216</v>
      </c>
      <c r="C28" s="177">
        <f>ROUND('[3]表6资金使用成效（预算执行率）原稿'!C57,2)</f>
        <v>2214.91</v>
      </c>
      <c r="D28" s="177">
        <f>ROUND('[3]表6资金使用成效（预算执行率）原稿'!D57,2)</f>
        <v>0</v>
      </c>
      <c r="E28" s="177">
        <f>ROUND('[3]表6资金使用成效（预算执行率）原稿'!E57,2)</f>
        <v>0</v>
      </c>
      <c r="F28" s="177">
        <f>ROUND('[3]表6资金使用成效（预算执行率）原稿'!F57,2)</f>
        <v>2214.91</v>
      </c>
      <c r="G28" s="177">
        <f>ROUND('[3]表6资金使用成效（预算执行率）原稿'!G57,2)</f>
        <v>54901</v>
      </c>
      <c r="H28" s="177">
        <f>ROUND('[3]表6资金使用成效（预算执行率）原稿'!H57,2)</f>
        <v>47386</v>
      </c>
      <c r="I28" s="177">
        <f>ROUND('[3]表6资金使用成效（预算执行率）原稿'!I57,2)</f>
        <v>7515</v>
      </c>
      <c r="J28" s="177">
        <f>ROUND('[3]表6资金使用成效（预算执行率）原稿'!J57,2)</f>
        <v>0</v>
      </c>
      <c r="K28" s="177">
        <f>ROUND('[3]表6资金使用成效（预算执行率）原稿'!K57,2)</f>
        <v>0</v>
      </c>
      <c r="L28" s="172">
        <f t="shared" si="0"/>
        <v>0.959656290413654</v>
      </c>
    </row>
    <row r="29" ht="14.25" spans="1:12">
      <c r="A29" s="176" t="s">
        <v>271</v>
      </c>
      <c r="B29" s="176" t="s">
        <v>219</v>
      </c>
      <c r="C29" s="177">
        <f>ROUND('[3]表6资金使用成效（预算执行率）原稿'!C58,2)</f>
        <v>1376.78</v>
      </c>
      <c r="D29" s="177">
        <f>ROUND('[3]表6资金使用成效（预算执行率）原稿'!D58,2)</f>
        <v>0</v>
      </c>
      <c r="E29" s="177">
        <f>ROUND('[3]表6资金使用成效（预算执行率）原稿'!E58,2)</f>
        <v>0</v>
      </c>
      <c r="F29" s="177">
        <f>ROUND('[3]表6资金使用成效（预算执行率）原稿'!F58,2)</f>
        <v>1376.78</v>
      </c>
      <c r="G29" s="177">
        <f>ROUND('[3]表6资金使用成效（预算执行率）原稿'!G58,2)</f>
        <v>34120</v>
      </c>
      <c r="H29" s="177">
        <f>ROUND('[3]表6资金使用成效（预算执行率）原稿'!H58,2)</f>
        <v>23887</v>
      </c>
      <c r="I29" s="177">
        <f>ROUND('[3]表6资金使用成效（预算执行率）原稿'!I58,2)</f>
        <v>10233</v>
      </c>
      <c r="J29" s="177">
        <f>ROUND('[3]表6资金使用成效（预算执行率）原稿'!J58,2)</f>
        <v>0</v>
      </c>
      <c r="K29" s="177">
        <f>ROUND('[3]表6资金使用成效（预算执行率）原稿'!K58,2)</f>
        <v>0</v>
      </c>
      <c r="L29" s="172">
        <f t="shared" si="0"/>
        <v>0.959648886283705</v>
      </c>
    </row>
    <row r="30" ht="14.25" spans="1:12">
      <c r="A30" s="176" t="s">
        <v>272</v>
      </c>
      <c r="B30" s="176" t="s">
        <v>220</v>
      </c>
      <c r="C30" s="177">
        <f>ROUND('[3]表6资金使用成效（预算执行率）原稿'!C59,2)</f>
        <v>1478.4</v>
      </c>
      <c r="D30" s="177">
        <f>ROUND('[3]表6资金使用成效（预算执行率）原稿'!D59,2)</f>
        <v>0</v>
      </c>
      <c r="E30" s="177">
        <f>ROUND('[3]表6资金使用成效（预算执行率）原稿'!E59,2)</f>
        <v>0</v>
      </c>
      <c r="F30" s="177">
        <f>ROUND('[3]表6资金使用成效（预算执行率）原稿'!F59,2)</f>
        <v>1478.4</v>
      </c>
      <c r="G30" s="177">
        <f>ROUND('[3]表6资金使用成效（预算执行率）原稿'!G59,2)</f>
        <v>28721</v>
      </c>
      <c r="H30" s="177">
        <f>ROUND('[3]表6资金使用成效（预算执行率）原稿'!H59,2)</f>
        <v>22603</v>
      </c>
      <c r="I30" s="177">
        <f>ROUND('[3]表6资金使用成效（预算执行率）原稿'!I59,2)</f>
        <v>6118</v>
      </c>
      <c r="J30" s="177">
        <f>ROUND('[3]表6资金使用成效（预算执行率）原稿'!J59,2)</f>
        <v>0</v>
      </c>
      <c r="K30" s="177">
        <f>ROUND('[3]表6资金使用成效（预算执行率）原稿'!K59,2)</f>
        <v>0</v>
      </c>
      <c r="L30" s="172">
        <f t="shared" si="0"/>
        <v>0.948525469168901</v>
      </c>
    </row>
    <row r="31" ht="14.25" spans="1:12">
      <c r="A31" s="176" t="s">
        <v>273</v>
      </c>
      <c r="B31" s="176" t="s">
        <v>221</v>
      </c>
      <c r="C31" s="177">
        <f>ROUND('[3]表6资金使用成效（预算执行率）原稿'!C60,2)</f>
        <v>2015.97</v>
      </c>
      <c r="D31" s="177">
        <f>ROUND('[3]表6资金使用成效（预算执行率）原稿'!D60,2)</f>
        <v>0</v>
      </c>
      <c r="E31" s="177">
        <f>ROUND('[3]表6资金使用成效（预算执行率）原稿'!E60,2)</f>
        <v>0</v>
      </c>
      <c r="F31" s="177">
        <f>ROUND('[3]表6资金使用成效（预算执行率）原稿'!F60,2)</f>
        <v>2015.97</v>
      </c>
      <c r="G31" s="177">
        <f>ROUND('[3]表6资金使用成效（预算执行率）原稿'!G60,2)</f>
        <v>58306</v>
      </c>
      <c r="H31" s="177">
        <f>ROUND('[3]表6资金使用成效（预算执行率）原稿'!H60,2)</f>
        <v>49149</v>
      </c>
      <c r="I31" s="177">
        <f>ROUND('[3]表6资金使用成效（预算执行率）原稿'!I60,2)</f>
        <v>8997</v>
      </c>
      <c r="J31" s="177">
        <f>ROUND('[3]表6资金使用成效（预算执行率）原稿'!J60,2)</f>
        <v>160</v>
      </c>
      <c r="K31" s="177">
        <f>ROUND('[3]表6资金使用成效（预算执行率）原稿'!K60,2)</f>
        <v>0</v>
      </c>
      <c r="L31" s="172">
        <f t="shared" si="0"/>
        <v>0.965424313106713</v>
      </c>
    </row>
    <row r="32" ht="14.25" spans="1:12">
      <c r="A32" s="176" t="s">
        <v>274</v>
      </c>
      <c r="B32" s="176" t="s">
        <v>104</v>
      </c>
      <c r="C32" s="177">
        <f>ROUND('[3]表6资金使用成效（预算执行率）原稿'!C61,2)</f>
        <v>874.59</v>
      </c>
      <c r="D32" s="177">
        <f>ROUND('[3]表6资金使用成效（预算执行率）原稿'!D61,2)</f>
        <v>0</v>
      </c>
      <c r="E32" s="177">
        <f>ROUND('[3]表6资金使用成效（预算执行率）原稿'!E61,2)</f>
        <v>0</v>
      </c>
      <c r="F32" s="177">
        <f>ROUND('[3]表6资金使用成效（预算执行率）原稿'!F61,2)</f>
        <v>874.59</v>
      </c>
      <c r="G32" s="177">
        <f>ROUND('[3]表6资金使用成效（预算执行率）原稿'!G61,2)</f>
        <v>11345.27</v>
      </c>
      <c r="H32" s="177">
        <f>ROUND('[3]表6资金使用成效（预算执行率）原稿'!H61,2)</f>
        <v>8227</v>
      </c>
      <c r="I32" s="177">
        <f>ROUND('[3]表6资金使用成效（预算执行率）原稿'!I61,2)</f>
        <v>2970</v>
      </c>
      <c r="J32" s="177">
        <f>ROUND('[3]表6资金使用成效（预算执行率）原稿'!J61,2)</f>
        <v>148.27</v>
      </c>
      <c r="K32" s="177">
        <f>ROUND('[3]表6资金使用成效（预算执行率）原稿'!K61,2)</f>
        <v>0</v>
      </c>
      <c r="L32" s="172">
        <f t="shared" si="0"/>
        <v>0.922911486460878</v>
      </c>
    </row>
    <row r="33" ht="14.25" spans="1:12">
      <c r="A33" s="176" t="s">
        <v>275</v>
      </c>
      <c r="B33" s="176" t="s">
        <v>105</v>
      </c>
      <c r="C33" s="177">
        <f>ROUND('[3]表6资金使用成效（预算执行率）原稿'!C62,2)</f>
        <v>518.55</v>
      </c>
      <c r="D33" s="177">
        <f>ROUND('[3]表6资金使用成效（预算执行率）原稿'!D62,2)</f>
        <v>0</v>
      </c>
      <c r="E33" s="177">
        <f>ROUND('[3]表6资金使用成效（预算执行率）原稿'!E62,2)</f>
        <v>0</v>
      </c>
      <c r="F33" s="177">
        <f>ROUND('[3]表6资金使用成效（预算执行率）原稿'!F62,2)</f>
        <v>518.55</v>
      </c>
      <c r="G33" s="177">
        <f>ROUND('[3]表6资金使用成效（预算执行率）原稿'!G62,2)</f>
        <v>6775.69</v>
      </c>
      <c r="H33" s="177">
        <f>ROUND('[3]表6资金使用成效（预算执行率）原稿'!H62,2)</f>
        <v>5943</v>
      </c>
      <c r="I33" s="177">
        <f>ROUND('[3]表6资金使用成效（预算执行率）原稿'!I62,2)</f>
        <v>761</v>
      </c>
      <c r="J33" s="177">
        <f>ROUND('[3]表6资金使用成效（预算执行率）原稿'!J62,2)</f>
        <v>71.69</v>
      </c>
      <c r="K33" s="177">
        <f>ROUND('[3]表6资金使用成效（预算执行率）原稿'!K62,2)</f>
        <v>0</v>
      </c>
      <c r="L33" s="172">
        <f t="shared" si="0"/>
        <v>0.923469048908672</v>
      </c>
    </row>
    <row r="34" ht="14.25" spans="1:12">
      <c r="A34" s="176" t="s">
        <v>276</v>
      </c>
      <c r="B34" s="176" t="s">
        <v>106</v>
      </c>
      <c r="C34" s="177">
        <f>ROUND('[3]表6资金使用成效（预算执行率）原稿'!C63,2)</f>
        <v>1335.31</v>
      </c>
      <c r="D34" s="177">
        <f>ROUND('[3]表6资金使用成效（预算执行率）原稿'!D63,2)</f>
        <v>0</v>
      </c>
      <c r="E34" s="177">
        <f>ROUND('[3]表6资金使用成效（预算执行率）原稿'!E63,2)</f>
        <v>0</v>
      </c>
      <c r="F34" s="177">
        <f>ROUND('[3]表6资金使用成效（预算执行率）原稿'!F63,2)</f>
        <v>1335.31</v>
      </c>
      <c r="G34" s="177">
        <f>ROUND('[3]表6资金使用成效（预算执行率）原稿'!G63,2)</f>
        <v>16748.56</v>
      </c>
      <c r="H34" s="177">
        <f>ROUND('[3]表6资金使用成效（预算执行率）原稿'!H63,2)</f>
        <v>14834</v>
      </c>
      <c r="I34" s="177">
        <f>ROUND('[3]表6资金使用成效（预算执行率）原稿'!I63,2)</f>
        <v>1766</v>
      </c>
      <c r="J34" s="177">
        <f>ROUND('[3]表6资金使用成效（预算执行率）原稿'!J63,2)</f>
        <v>148.56</v>
      </c>
      <c r="K34" s="177">
        <f>ROUND('[3]表6资金使用成效（预算执行率）原稿'!K63,2)</f>
        <v>0</v>
      </c>
      <c r="L34" s="172">
        <f t="shared" si="0"/>
        <v>0.920273145870451</v>
      </c>
    </row>
    <row r="35" ht="14.25" spans="1:12">
      <c r="A35" s="176" t="s">
        <v>277</v>
      </c>
      <c r="B35" s="176" t="s">
        <v>107</v>
      </c>
      <c r="C35" s="177">
        <f>ROUND('[3]表6资金使用成效（预算执行率）原稿'!C64,2)</f>
        <v>4805.43</v>
      </c>
      <c r="D35" s="177">
        <f>ROUND('[3]表6资金使用成效（预算执行率）原稿'!D64,2)</f>
        <v>0</v>
      </c>
      <c r="E35" s="177">
        <f>ROUND('[3]表6资金使用成效（预算执行率）原稿'!E64,2)</f>
        <v>0</v>
      </c>
      <c r="F35" s="177">
        <f>ROUND('[3]表6资金使用成效（预算执行率）原稿'!F64,2)</f>
        <v>4805.43</v>
      </c>
      <c r="G35" s="177">
        <f>ROUND('[3]表6资金使用成效（预算执行率）原稿'!G64,2)</f>
        <v>108323.47</v>
      </c>
      <c r="H35" s="177">
        <f>ROUND('[3]表6资金使用成效（预算执行率）原稿'!H64,2)</f>
        <v>83267</v>
      </c>
      <c r="I35" s="177">
        <f>ROUND('[3]表6资金使用成效（预算执行率）原稿'!I64,2)</f>
        <v>21221</v>
      </c>
      <c r="J35" s="177">
        <f>ROUND('[3]表6资金使用成效（预算执行率）原稿'!J64,2)</f>
        <v>810.2</v>
      </c>
      <c r="K35" s="177">
        <f>ROUND('[3]表6资金使用成效（预算执行率）原稿'!K64,2)</f>
        <v>3025.27</v>
      </c>
      <c r="L35" s="172">
        <f t="shared" si="0"/>
        <v>0.955638145639168</v>
      </c>
    </row>
    <row r="36" ht="14.25" spans="1:12">
      <c r="A36" s="176" t="s">
        <v>278</v>
      </c>
      <c r="B36" s="176" t="s">
        <v>108</v>
      </c>
      <c r="C36" s="177">
        <f>ROUND('[3]表6资金使用成效（预算执行率）原稿'!C65,2)</f>
        <v>90</v>
      </c>
      <c r="D36" s="177">
        <f>ROUND('[3]表6资金使用成效（预算执行率）原稿'!D65,2)</f>
        <v>0</v>
      </c>
      <c r="E36" s="177">
        <f>ROUND('[3]表6资金使用成效（预算执行率）原稿'!E65,2)</f>
        <v>0</v>
      </c>
      <c r="F36" s="177">
        <f>ROUND('[3]表6资金使用成效（预算执行率）原稿'!F65,2)</f>
        <v>90</v>
      </c>
      <c r="G36" s="177">
        <f>ROUND('[3]表6资金使用成效（预算执行率）原稿'!G65,2)</f>
        <v>5813.44</v>
      </c>
      <c r="H36" s="177">
        <f>ROUND('[3]表6资金使用成效（预算执行率）原稿'!H65,2)</f>
        <v>3883</v>
      </c>
      <c r="I36" s="177">
        <f>ROUND('[3]表6资金使用成效（预算执行率）原稿'!I65,2)</f>
        <v>1210</v>
      </c>
      <c r="J36" s="177">
        <f>ROUND('[3]表6资金使用成效（预算执行率）原稿'!J65,2)</f>
        <v>20.44</v>
      </c>
      <c r="K36" s="177">
        <f>ROUND('[3]表6资金使用成效（预算执行率）原稿'!K65,2)</f>
        <v>700</v>
      </c>
      <c r="L36" s="172">
        <f t="shared" si="0"/>
        <v>0.984518632685639</v>
      </c>
    </row>
    <row r="37" ht="14.25" spans="1:12">
      <c r="A37" s="176" t="s">
        <v>279</v>
      </c>
      <c r="B37" s="176" t="s">
        <v>109</v>
      </c>
      <c r="C37" s="177">
        <f>ROUND('[3]表6资金使用成效（预算执行率）原稿'!C66,2)</f>
        <v>2935</v>
      </c>
      <c r="D37" s="177">
        <f>ROUND('[3]表6资金使用成效（预算执行率）原稿'!D66,2)</f>
        <v>0</v>
      </c>
      <c r="E37" s="177">
        <f>ROUND('[3]表6资金使用成效（预算执行率）原稿'!E66,2)</f>
        <v>0</v>
      </c>
      <c r="F37" s="177">
        <f>ROUND('[3]表6资金使用成效（预算执行率）原稿'!F66,2)</f>
        <v>2935</v>
      </c>
      <c r="G37" s="177">
        <f>ROUND('[3]表6资金使用成效（预算执行率）原稿'!G66,2)</f>
        <v>45846.21</v>
      </c>
      <c r="H37" s="177">
        <f>ROUND('[3]表6资金使用成效（预算执行率）原稿'!H66,2)</f>
        <v>35283</v>
      </c>
      <c r="I37" s="177">
        <f>ROUND('[3]表6资金使用成效（预算执行率）原稿'!I66,2)</f>
        <v>5732</v>
      </c>
      <c r="J37" s="177">
        <f>ROUND('[3]表6资金使用成效（预算执行率）原稿'!J66,2)</f>
        <v>258.21</v>
      </c>
      <c r="K37" s="177">
        <f>ROUND('[3]表6资金使用成效（预算执行率）原稿'!K66,2)</f>
        <v>4573</v>
      </c>
      <c r="L37" s="172">
        <f t="shared" si="0"/>
        <v>0.935981622035933</v>
      </c>
    </row>
    <row r="38" ht="14.25" spans="1:12">
      <c r="A38" s="176" t="s">
        <v>280</v>
      </c>
      <c r="B38" s="176" t="s">
        <v>112</v>
      </c>
      <c r="C38" s="177">
        <f>ROUND('[3]表6资金使用成效（预算执行率）原稿'!C67,2)</f>
        <v>284.67</v>
      </c>
      <c r="D38" s="177">
        <f>ROUND('[3]表6资金使用成效（预算执行率）原稿'!D67,2)</f>
        <v>0</v>
      </c>
      <c r="E38" s="177">
        <f>ROUND('[3]表6资金使用成效（预算执行率）原稿'!E67,2)</f>
        <v>0</v>
      </c>
      <c r="F38" s="177">
        <f>ROUND('[3]表6资金使用成效（预算执行率）原稿'!F67,2)</f>
        <v>284.67</v>
      </c>
      <c r="G38" s="177">
        <f>ROUND('[3]表6资金使用成效（预算执行率）原稿'!G67,2)</f>
        <v>3808.58</v>
      </c>
      <c r="H38" s="177">
        <f>ROUND('[3]表6资金使用成效（预算执行率）原稿'!H67,2)</f>
        <v>2135</v>
      </c>
      <c r="I38" s="177">
        <f>ROUND('[3]表6资金使用成效（预算执行率）原稿'!I67,2)</f>
        <v>1038</v>
      </c>
      <c r="J38" s="177">
        <f>ROUND('[3]表6资金使用成效（预算执行率）原稿'!J67,2)</f>
        <v>33.88</v>
      </c>
      <c r="K38" s="177">
        <f>ROUND('[3]表6资金使用成效（预算执行率）原稿'!K67,2)</f>
        <v>601.7</v>
      </c>
      <c r="L38" s="172">
        <f t="shared" si="0"/>
        <v>0.925255607076653</v>
      </c>
    </row>
    <row r="39" ht="14.25" spans="1:12">
      <c r="A39" s="176" t="s">
        <v>281</v>
      </c>
      <c r="B39" s="176" t="s">
        <v>65</v>
      </c>
      <c r="C39" s="177">
        <f>ROUND('[3]表6资金使用成效（预算执行率）原稿'!C68,2)</f>
        <v>2755.18</v>
      </c>
      <c r="D39" s="177">
        <f>ROUND('[3]表6资金使用成效（预算执行率）原稿'!D68,2)</f>
        <v>0</v>
      </c>
      <c r="E39" s="177">
        <f>ROUND('[3]表6资金使用成效（预算执行率）原稿'!E68,2)</f>
        <v>0</v>
      </c>
      <c r="F39" s="177">
        <f>ROUND('[3]表6资金使用成效（预算执行率）原稿'!F68,2)</f>
        <v>2755.18</v>
      </c>
      <c r="G39" s="177">
        <f>ROUND('[3]表6资金使用成效（预算执行率）原稿'!G68,2)</f>
        <v>36633.53</v>
      </c>
      <c r="H39" s="177">
        <f>ROUND('[3]表6资金使用成效（预算执行率）原稿'!H68,2)</f>
        <v>23040.24</v>
      </c>
      <c r="I39" s="177">
        <f>ROUND('[3]表6资金使用成效（预算执行率）原稿'!I68,2)</f>
        <v>7243.43</v>
      </c>
      <c r="J39" s="177">
        <f>ROUND('[3]表6资金使用成效（预算执行率）原稿'!J68,2)</f>
        <v>5758</v>
      </c>
      <c r="K39" s="177">
        <f>ROUND('[3]表6资金使用成效（预算执行率）原稿'!K68,2)</f>
        <v>591.86</v>
      </c>
      <c r="L39" s="172">
        <f t="shared" si="0"/>
        <v>0.92479075863014</v>
      </c>
    </row>
    <row r="40" ht="14.25" spans="1:12">
      <c r="A40" s="176" t="s">
        <v>282</v>
      </c>
      <c r="B40" s="176" t="s">
        <v>113</v>
      </c>
      <c r="C40" s="177">
        <f>ROUND('[3]表6资金使用成效（预算执行率）原稿'!C69,2)</f>
        <v>280.96</v>
      </c>
      <c r="D40" s="177">
        <f>ROUND('[3]表6资金使用成效（预算执行率）原稿'!D69,2)</f>
        <v>0</v>
      </c>
      <c r="E40" s="177">
        <f>ROUND('[3]表6资金使用成效（预算执行率）原稿'!E69,2)</f>
        <v>0</v>
      </c>
      <c r="F40" s="177">
        <f>ROUND('[3]表6资金使用成效（预算执行率）原稿'!F69,2)</f>
        <v>280.96</v>
      </c>
      <c r="G40" s="177">
        <f>ROUND('[3]表6资金使用成效（预算执行率）原稿'!G69,2)</f>
        <v>4054.92</v>
      </c>
      <c r="H40" s="177">
        <f>ROUND('[3]表6资金使用成效（预算执行率）原稿'!H69,2)</f>
        <v>2428</v>
      </c>
      <c r="I40" s="177">
        <f>ROUND('[3]表6资金使用成效（预算执行率）原稿'!I69,2)</f>
        <v>1093</v>
      </c>
      <c r="J40" s="177">
        <f>ROUND('[3]表6资金使用成效（预算执行率）原稿'!J69,2)</f>
        <v>33.92</v>
      </c>
      <c r="K40" s="177">
        <f>ROUND('[3]表6资金使用成效（预算执行率）原稿'!K69,2)</f>
        <v>500</v>
      </c>
      <c r="L40" s="172">
        <f t="shared" si="0"/>
        <v>0.930711333392521</v>
      </c>
    </row>
    <row r="41" ht="14.25" spans="1:12">
      <c r="A41" s="176" t="s">
        <v>283</v>
      </c>
      <c r="B41" s="176" t="s">
        <v>114</v>
      </c>
      <c r="C41" s="177">
        <f>ROUND('[3]表6资金使用成效（预算执行率）原稿'!C70,2)</f>
        <v>318.04</v>
      </c>
      <c r="D41" s="177">
        <f>ROUND('[3]表6资金使用成效（预算执行率）原稿'!D70,2)</f>
        <v>0</v>
      </c>
      <c r="E41" s="177">
        <f>ROUND('[3]表6资金使用成效（预算执行率）原稿'!E70,2)</f>
        <v>0</v>
      </c>
      <c r="F41" s="177">
        <f>ROUND('[3]表6资金使用成效（预算执行率）原稿'!F70,2)</f>
        <v>318.04</v>
      </c>
      <c r="G41" s="177">
        <f>ROUND('[3]表6资金使用成效（预算执行率）原稿'!G70,2)</f>
        <v>4565.84</v>
      </c>
      <c r="H41" s="177">
        <f>ROUND('[3]表6资金使用成效（预算执行率）原稿'!H70,2)</f>
        <v>2763</v>
      </c>
      <c r="I41" s="177">
        <f>ROUND('[3]表6资金使用成效（预算执行率）原稿'!I70,2)</f>
        <v>1273</v>
      </c>
      <c r="J41" s="177">
        <f>ROUND('[3]表6资金使用成效（预算执行率）原稿'!J70,2)</f>
        <v>29.84</v>
      </c>
      <c r="K41" s="177">
        <f>ROUND('[3]表6资金使用成效（预算执行率）原稿'!K70,2)</f>
        <v>500</v>
      </c>
      <c r="L41" s="172">
        <f t="shared" si="0"/>
        <v>0.930343595044942</v>
      </c>
    </row>
    <row r="42" ht="14.25" spans="1:12">
      <c r="A42" s="176" t="s">
        <v>284</v>
      </c>
      <c r="B42" s="176" t="s">
        <v>115</v>
      </c>
      <c r="C42" s="177">
        <f>ROUND('[3]表6资金使用成效（预算执行率）原稿'!C71,2)</f>
        <v>1411.3</v>
      </c>
      <c r="D42" s="177">
        <f>ROUND('[3]表6资金使用成效（预算执行率）原稿'!D71,2)</f>
        <v>0</v>
      </c>
      <c r="E42" s="177">
        <f>ROUND('[3]表6资金使用成效（预算执行率）原稿'!E71,2)</f>
        <v>0</v>
      </c>
      <c r="F42" s="177">
        <f>ROUND('[3]表6资金使用成效（预算执行率）原稿'!F71,2)</f>
        <v>1411.3</v>
      </c>
      <c r="G42" s="177">
        <f>ROUND('[3]表6资金使用成效（预算执行率）原稿'!G71,2)</f>
        <v>4167.04</v>
      </c>
      <c r="H42" s="177">
        <f>ROUND('[3]表6资金使用成效（预算执行率）原稿'!H71,2)</f>
        <v>1767</v>
      </c>
      <c r="I42" s="177">
        <f>ROUND('[3]表6资金使用成效（预算执行率）原稿'!I71,2)</f>
        <v>881</v>
      </c>
      <c r="J42" s="177">
        <f>ROUND('[3]表6资金使用成效（预算执行率）原稿'!J71,2)</f>
        <v>1019.04</v>
      </c>
      <c r="K42" s="177">
        <f>ROUND('[3]表6资金使用成效（预算执行率）原稿'!K71,2)</f>
        <v>500</v>
      </c>
      <c r="L42" s="172">
        <f t="shared" si="0"/>
        <v>0.66131834587621</v>
      </c>
    </row>
    <row r="43" ht="14.25" spans="1:12">
      <c r="A43" s="176" t="s">
        <v>285</v>
      </c>
      <c r="B43" s="176" t="s">
        <v>116</v>
      </c>
      <c r="C43" s="177">
        <f>ROUND('[3]表6资金使用成效（预算执行率）原稿'!C72,2)</f>
        <v>134.19</v>
      </c>
      <c r="D43" s="177">
        <f>ROUND('[3]表6资金使用成效（预算执行率）原稿'!D72,2)</f>
        <v>0</v>
      </c>
      <c r="E43" s="177">
        <f>ROUND('[3]表6资金使用成效（预算执行率）原稿'!E72,2)</f>
        <v>0</v>
      </c>
      <c r="F43" s="177">
        <f>ROUND('[3]表6资金使用成效（预算执行率）原稿'!F72,2)</f>
        <v>134.19</v>
      </c>
      <c r="G43" s="177">
        <f>ROUND('[3]表6资金使用成效（预算执行率）原稿'!G72,2)</f>
        <v>3025.17</v>
      </c>
      <c r="H43" s="177">
        <f>ROUND('[3]表6资金使用成效（预算执行率）原稿'!H72,2)</f>
        <v>1495</v>
      </c>
      <c r="I43" s="177">
        <f>ROUND('[3]表6资金使用成效（预算执行率）原稿'!I72,2)</f>
        <v>1337</v>
      </c>
      <c r="J43" s="177">
        <f>ROUND('[3]表6资金使用成效（预算执行率）原稿'!J72,2)</f>
        <v>43.28</v>
      </c>
      <c r="K43" s="177">
        <f>ROUND('[3]表6资金使用成效（预算执行率）原稿'!K72,2)</f>
        <v>149.89</v>
      </c>
      <c r="L43" s="172">
        <f t="shared" si="0"/>
        <v>0.95564216225865</v>
      </c>
    </row>
    <row r="44" ht="14.25" spans="1:12">
      <c r="A44" s="176" t="s">
        <v>286</v>
      </c>
      <c r="B44" s="176" t="s">
        <v>117</v>
      </c>
      <c r="C44" s="177">
        <f>ROUND('[3]表6资金使用成效（预算执行率）原稿'!C73,2)</f>
        <v>343.81</v>
      </c>
      <c r="D44" s="177">
        <f>ROUND('[3]表6资金使用成效（预算执行率）原稿'!D73,2)</f>
        <v>0</v>
      </c>
      <c r="E44" s="177">
        <f>ROUND('[3]表6资金使用成效（预算执行率）原稿'!E73,2)</f>
        <v>0</v>
      </c>
      <c r="F44" s="177">
        <f>ROUND('[3]表6资金使用成效（预算执行率）原稿'!F73,2)</f>
        <v>343.81</v>
      </c>
      <c r="G44" s="177">
        <f>ROUND('[3]表6资金使用成效（预算执行率）原稿'!G73,2)</f>
        <v>4791.82</v>
      </c>
      <c r="H44" s="177">
        <f>ROUND('[3]表6资金使用成效（预算执行率）原稿'!H73,2)</f>
        <v>1790</v>
      </c>
      <c r="I44" s="177">
        <f>ROUND('[3]表6资金使用成效（预算执行率）原稿'!I73,2)</f>
        <v>2393</v>
      </c>
      <c r="J44" s="177">
        <f>ROUND('[3]表6资金使用成效（预算执行率）原稿'!J73,2)</f>
        <v>50.88</v>
      </c>
      <c r="K44" s="177">
        <f>ROUND('[3]表6资金使用成效（预算执行率）原稿'!K73,2)</f>
        <v>557.94</v>
      </c>
      <c r="L44" s="172">
        <f t="shared" si="0"/>
        <v>0.928250643805485</v>
      </c>
    </row>
    <row r="45" ht="14.25" spans="1:12">
      <c r="A45" s="176" t="s">
        <v>287</v>
      </c>
      <c r="B45" s="176" t="s">
        <v>118</v>
      </c>
      <c r="C45" s="177">
        <f>ROUND('[3]表6资金使用成效（预算执行率）原稿'!C74,2)</f>
        <v>463.89</v>
      </c>
      <c r="D45" s="177">
        <f>ROUND('[3]表6资金使用成效（预算执行率）原稿'!D74,2)</f>
        <v>0</v>
      </c>
      <c r="E45" s="177">
        <f>ROUND('[3]表6资金使用成效（预算执行率）原稿'!E74,2)</f>
        <v>0</v>
      </c>
      <c r="F45" s="177">
        <f>ROUND('[3]表6资金使用成效（预算执行率）原稿'!F74,2)</f>
        <v>463.89</v>
      </c>
      <c r="G45" s="177">
        <f>ROUND('[3]表6资金使用成效（预算执行率）原稿'!G74,2)</f>
        <v>4832.4</v>
      </c>
      <c r="H45" s="177">
        <f>ROUND('[3]表6资金使用成效（预算执行率）原稿'!H74,2)</f>
        <v>1703</v>
      </c>
      <c r="I45" s="177">
        <f>ROUND('[3]表6资金使用成效（预算执行率）原稿'!I74,2)</f>
        <v>2452</v>
      </c>
      <c r="J45" s="177">
        <f>ROUND('[3]表6资金使用成效（预算执行率）原稿'!J74,2)</f>
        <v>77.4</v>
      </c>
      <c r="K45" s="177">
        <f>ROUND('[3]表6资金使用成效（预算执行率）原稿'!K74,2)</f>
        <v>600</v>
      </c>
      <c r="L45" s="172">
        <f t="shared" si="0"/>
        <v>0.904004221504842</v>
      </c>
    </row>
    <row r="46" ht="14.25" spans="1:12">
      <c r="A46" s="176" t="s">
        <v>288</v>
      </c>
      <c r="B46" s="176" t="s">
        <v>119</v>
      </c>
      <c r="C46" s="177">
        <f>ROUND('[3]表6资金使用成效（预算执行率）原稿'!C75,2)</f>
        <v>190.3</v>
      </c>
      <c r="D46" s="177">
        <f>ROUND('[3]表6资金使用成效（预算执行率）原稿'!D75,2)</f>
        <v>0</v>
      </c>
      <c r="E46" s="177">
        <f>ROUND('[3]表6资金使用成效（预算执行率）原稿'!E75,2)</f>
        <v>0</v>
      </c>
      <c r="F46" s="177">
        <f>ROUND('[3]表6资金使用成效（预算执行率）原稿'!F75,2)</f>
        <v>190.3</v>
      </c>
      <c r="G46" s="177">
        <f>ROUND('[3]表6资金使用成效（预算执行率）原稿'!G75,2)</f>
        <v>4088.32</v>
      </c>
      <c r="H46" s="177">
        <f>ROUND('[3]表6资金使用成效（预算执行率）原稿'!H75,2)</f>
        <v>1539</v>
      </c>
      <c r="I46" s="177">
        <f>ROUND('[3]表6资金使用成效（预算执行率）原稿'!I75,2)</f>
        <v>1959</v>
      </c>
      <c r="J46" s="177">
        <f>ROUND('[3]表6资金使用成效（预算执行率）原稿'!J75,2)</f>
        <v>90.32</v>
      </c>
      <c r="K46" s="177">
        <f>ROUND('[3]表6资金使用成效（预算执行率）原稿'!K75,2)</f>
        <v>500</v>
      </c>
      <c r="L46" s="172">
        <f t="shared" si="0"/>
        <v>0.953452762993112</v>
      </c>
    </row>
    <row r="47" ht="14.25" spans="1:12">
      <c r="A47" s="176" t="s">
        <v>289</v>
      </c>
      <c r="B47" s="176" t="s">
        <v>120</v>
      </c>
      <c r="C47" s="177">
        <f>ROUND('[3]表6资金使用成效（预算执行率）原稿'!C76,2)</f>
        <v>355.3</v>
      </c>
      <c r="D47" s="177">
        <f>ROUND('[3]表6资金使用成效（预算执行率）原稿'!D76,2)</f>
        <v>0</v>
      </c>
      <c r="E47" s="177">
        <f>ROUND('[3]表6资金使用成效（预算执行率）原稿'!E76,2)</f>
        <v>0</v>
      </c>
      <c r="F47" s="177">
        <f>ROUND('[3]表6资金使用成效（预算执行率）原稿'!F76,2)</f>
        <v>355.3</v>
      </c>
      <c r="G47" s="177">
        <f>ROUND('[3]表6资金使用成效（预算执行率）原稿'!G76,2)</f>
        <v>4788.88</v>
      </c>
      <c r="H47" s="177">
        <f>ROUND('[3]表6资金使用成效（预算执行率）原稿'!H76,2)</f>
        <v>1785</v>
      </c>
      <c r="I47" s="177">
        <f>ROUND('[3]表6资金使用成效（预算执行率）原稿'!I76,2)</f>
        <v>2921</v>
      </c>
      <c r="J47" s="177">
        <f>ROUND('[3]表6资金使用成效（预算执行率）原稿'!J76,2)</f>
        <v>82.88</v>
      </c>
      <c r="K47" s="177">
        <f>ROUND('[3]表6资金使用成效（预算执行率）原稿'!K76,2)</f>
        <v>0</v>
      </c>
      <c r="L47" s="172">
        <f t="shared" si="0"/>
        <v>0.925807286881275</v>
      </c>
    </row>
    <row r="48" ht="14.25" spans="1:12">
      <c r="A48" s="176" t="s">
        <v>290</v>
      </c>
      <c r="B48" s="176" t="s">
        <v>192</v>
      </c>
      <c r="C48" s="177">
        <f>ROUND('[3]表6资金使用成效（预算执行率）原稿'!C77,2)</f>
        <v>885.8</v>
      </c>
      <c r="D48" s="177">
        <f>ROUND('[3]表6资金使用成效（预算执行率）原稿'!D77,2)</f>
        <v>0</v>
      </c>
      <c r="E48" s="177">
        <f>ROUND('[3]表6资金使用成效（预算执行率）原稿'!E77,2)</f>
        <v>0</v>
      </c>
      <c r="F48" s="177">
        <f>ROUND('[3]表6资金使用成效（预算执行率）原稿'!F77,2)</f>
        <v>885.8</v>
      </c>
      <c r="G48" s="177">
        <f>ROUND('[3]表6资金使用成效（预算执行率）原稿'!G77,2)</f>
        <v>15130.41</v>
      </c>
      <c r="H48" s="177">
        <f>ROUND('[3]表6资金使用成效（预算执行率）原稿'!H77,2)</f>
        <v>10431.95</v>
      </c>
      <c r="I48" s="177">
        <f>ROUND('[3]表6资金使用成效（预算执行率）原稿'!I77,2)</f>
        <v>1691</v>
      </c>
      <c r="J48" s="177">
        <f>ROUND('[3]表6资金使用成效（预算执行率）原稿'!J77,2)</f>
        <v>3007.46</v>
      </c>
      <c r="K48" s="177">
        <f>ROUND('[3]表6资金使用成效（预算执行率）原稿'!K77,2)</f>
        <v>0</v>
      </c>
      <c r="L48" s="172">
        <f t="shared" si="0"/>
        <v>0.941455651234831</v>
      </c>
    </row>
    <row r="49" ht="14.25" spans="1:12">
      <c r="A49" s="176" t="s">
        <v>291</v>
      </c>
      <c r="B49" s="176" t="s">
        <v>193</v>
      </c>
      <c r="C49" s="177">
        <f>ROUND('[3]表6资金使用成效（预算执行率）原稿'!C78,2)</f>
        <v>1385.06</v>
      </c>
      <c r="D49" s="177">
        <f>ROUND('[3]表6资金使用成效（预算执行率）原稿'!D78,2)</f>
        <v>0</v>
      </c>
      <c r="E49" s="177">
        <f>ROUND('[3]表6资金使用成效（预算执行率）原稿'!E78,2)</f>
        <v>0</v>
      </c>
      <c r="F49" s="177">
        <f>ROUND('[3]表6资金使用成效（预算执行率）原稿'!F78,2)</f>
        <v>1385.06</v>
      </c>
      <c r="G49" s="177">
        <f>ROUND('[3]表6资金使用成效（预算执行率）原稿'!G78,2)</f>
        <v>24889.86</v>
      </c>
      <c r="H49" s="177">
        <f>ROUND('[3]表6资金使用成效（预算执行率）原稿'!H78,2)</f>
        <v>16927.81</v>
      </c>
      <c r="I49" s="177">
        <f>ROUND('[3]表6资金使用成效（预算执行率）原稿'!I78,2)</f>
        <v>3315</v>
      </c>
      <c r="J49" s="177">
        <f>ROUND('[3]表6资金使用成效（预算执行率）原稿'!J78,2)</f>
        <v>636.85</v>
      </c>
      <c r="K49" s="177">
        <f>ROUND('[3]表6资金使用成效（预算执行率）原稿'!K78,2)</f>
        <v>4010.2</v>
      </c>
      <c r="L49" s="172">
        <f t="shared" si="0"/>
        <v>0.944352439105724</v>
      </c>
    </row>
    <row r="50" ht="14.25" spans="1:12">
      <c r="A50" s="176" t="s">
        <v>292</v>
      </c>
      <c r="B50" s="176" t="s">
        <v>69</v>
      </c>
      <c r="C50" s="177">
        <f>ROUND('[3]表6资金使用成效（预算执行率）原稿'!C79,2)</f>
        <v>208.97</v>
      </c>
      <c r="D50" s="177">
        <f>ROUND('[3]表6资金使用成效（预算执行率）原稿'!D79,2)</f>
        <v>0</v>
      </c>
      <c r="E50" s="177">
        <f>ROUND('[3]表6资金使用成效（预算执行率）原稿'!E79,2)</f>
        <v>0</v>
      </c>
      <c r="F50" s="177">
        <f>ROUND('[3]表6资金使用成效（预算执行率）原稿'!F79,2)</f>
        <v>208.97</v>
      </c>
      <c r="G50" s="177">
        <f>ROUND('[3]表6资金使用成效（预算执行率）原稿'!G79,2)</f>
        <v>2850</v>
      </c>
      <c r="H50" s="177">
        <f>ROUND('[3]表6资金使用成效（预算执行率）原稿'!H79,2)</f>
        <v>958</v>
      </c>
      <c r="I50" s="177">
        <f>ROUND('[3]表6资金使用成效（预算执行率）原稿'!I79,2)</f>
        <v>198</v>
      </c>
      <c r="J50" s="177">
        <f>ROUND('[3]表6资金使用成效（预算执行率）原稿'!J79,2)</f>
        <v>1194</v>
      </c>
      <c r="K50" s="177">
        <f>ROUND('[3]表6资金使用成效（预算执行率）原稿'!K79,2)</f>
        <v>500</v>
      </c>
      <c r="L50" s="172">
        <f t="shared" si="0"/>
        <v>0.926677192982456</v>
      </c>
    </row>
    <row r="51" ht="14.25" spans="1:12">
      <c r="A51" s="176" t="s">
        <v>293</v>
      </c>
      <c r="B51" s="176" t="s">
        <v>194</v>
      </c>
      <c r="C51" s="177">
        <f>ROUND('[3]表6资金使用成效（预算执行率）原稿'!C80,2)</f>
        <v>668.09</v>
      </c>
      <c r="D51" s="177">
        <f>ROUND('[3]表6资金使用成效（预算执行率）原稿'!D80,2)</f>
        <v>0</v>
      </c>
      <c r="E51" s="177">
        <f>ROUND('[3]表6资金使用成效（预算执行率）原稿'!E80,2)</f>
        <v>0</v>
      </c>
      <c r="F51" s="177">
        <f>ROUND('[3]表6资金使用成效（预算执行率）原稿'!F80,2)</f>
        <v>668.09</v>
      </c>
      <c r="G51" s="177">
        <f>ROUND('[3]表6资金使用成效（预算执行率）原稿'!G80,2)</f>
        <v>12317.94</v>
      </c>
      <c r="H51" s="177">
        <f>ROUND('[3]表6资金使用成效（预算执行率）原稿'!H80,2)</f>
        <v>7986</v>
      </c>
      <c r="I51" s="177">
        <f>ROUND('[3]表6资金使用成效（预算执行率）原稿'!I80,2)</f>
        <v>3057</v>
      </c>
      <c r="J51" s="177">
        <f>ROUND('[3]表6资金使用成效（预算执行率）原稿'!J80,2)</f>
        <v>692.36</v>
      </c>
      <c r="K51" s="177">
        <f>ROUND('[3]表6资金使用成效（预算执行率）原稿'!K80,2)</f>
        <v>582.58</v>
      </c>
      <c r="L51" s="172">
        <f t="shared" si="0"/>
        <v>0.945762846709758</v>
      </c>
    </row>
    <row r="52" ht="14.25" spans="1:12">
      <c r="A52" s="176" t="s">
        <v>294</v>
      </c>
      <c r="B52" s="176" t="s">
        <v>195</v>
      </c>
      <c r="C52" s="177">
        <f>ROUND('[3]表6资金使用成效（预算执行率）原稿'!C81,2)</f>
        <v>1218.24</v>
      </c>
      <c r="D52" s="177">
        <f>ROUND('[3]表6资金使用成效（预算执行率）原稿'!D81,2)</f>
        <v>0</v>
      </c>
      <c r="E52" s="177">
        <f>ROUND('[3]表6资金使用成效（预算执行率）原稿'!E81,2)</f>
        <v>510.57</v>
      </c>
      <c r="F52" s="177">
        <f>ROUND('[3]表6资金使用成效（预算执行率）原稿'!F81,2)</f>
        <v>707.67</v>
      </c>
      <c r="G52" s="177">
        <f>ROUND('[3]表6资金使用成效（预算执行率）原稿'!G81,2)</f>
        <v>20416.09</v>
      </c>
      <c r="H52" s="177">
        <f>ROUND('[3]表6资金使用成效（预算执行率）原稿'!H81,2)</f>
        <v>7369.64</v>
      </c>
      <c r="I52" s="177">
        <f>ROUND('[3]表6资金使用成效（预算执行率）原稿'!I81,2)</f>
        <v>2875</v>
      </c>
      <c r="J52" s="177">
        <f>ROUND('[3]表6资金使用成效（预算执行率）原稿'!J81,2)</f>
        <v>521.01</v>
      </c>
      <c r="K52" s="177">
        <f>ROUND('[3]表6资金使用成效（预算执行率）原稿'!K81,2)</f>
        <v>9650.44</v>
      </c>
      <c r="L52" s="172">
        <f t="shared" si="0"/>
        <v>0.965337633209885</v>
      </c>
    </row>
    <row r="53" ht="14.25" spans="1:12">
      <c r="A53" s="176" t="s">
        <v>295</v>
      </c>
      <c r="B53" s="176" t="s">
        <v>196</v>
      </c>
      <c r="C53" s="177">
        <f>ROUND('[3]表6资金使用成效（预算执行率）原稿'!C82,2)</f>
        <v>782.21</v>
      </c>
      <c r="D53" s="177">
        <f>ROUND('[3]表6资金使用成效（预算执行率）原稿'!D82,2)</f>
        <v>0</v>
      </c>
      <c r="E53" s="177">
        <f>ROUND('[3]表6资金使用成效（预算执行率）原稿'!E82,2)</f>
        <v>0</v>
      </c>
      <c r="F53" s="177">
        <f>ROUND('[3]表6资金使用成效（预算执行率）原稿'!F82,2)</f>
        <v>782.21</v>
      </c>
      <c r="G53" s="177">
        <f>ROUND('[3]表6资金使用成效（预算执行率）原稿'!G82,2)</f>
        <v>14422.92</v>
      </c>
      <c r="H53" s="177">
        <f>ROUND('[3]表6资金使用成效（预算执行率）原稿'!H82,2)</f>
        <v>9453.6</v>
      </c>
      <c r="I53" s="177">
        <f>ROUND('[3]表6资金使用成效（预算执行率）原稿'!I82,2)</f>
        <v>2802</v>
      </c>
      <c r="J53" s="177">
        <f>ROUND('[3]表6资金使用成效（预算执行率）原稿'!J82,2)</f>
        <v>527.32</v>
      </c>
      <c r="K53" s="177">
        <f>ROUND('[3]表6资金使用成效（预算执行率）原稿'!K82,2)</f>
        <v>1640</v>
      </c>
      <c r="L53" s="172">
        <f t="shared" si="0"/>
        <v>0.945766183269407</v>
      </c>
    </row>
    <row r="54" ht="14.25" spans="1:12">
      <c r="A54" s="176" t="s">
        <v>296</v>
      </c>
      <c r="B54" s="176" t="s">
        <v>84</v>
      </c>
      <c r="C54" s="177">
        <f>ROUND('[3]表6资金使用成效（预算执行率）原稿'!C83,2)</f>
        <v>1129.21</v>
      </c>
      <c r="D54" s="177">
        <f>ROUND('[3]表6资金使用成效（预算执行率）原稿'!D83,2)</f>
        <v>0</v>
      </c>
      <c r="E54" s="177">
        <f>ROUND('[3]表6资金使用成效（预算执行率）原稿'!E83,2)</f>
        <v>0</v>
      </c>
      <c r="F54" s="177">
        <f>ROUND('[3]表6资金使用成效（预算执行率）原稿'!F83,2)</f>
        <v>1129.21</v>
      </c>
      <c r="G54" s="177">
        <f>ROUND('[3]表6资金使用成效（预算执行率）原稿'!G83,2)</f>
        <v>49928.04</v>
      </c>
      <c r="H54" s="177">
        <f>ROUND('[3]表6资金使用成效（预算执行率）原稿'!H83,2)</f>
        <v>42607.82</v>
      </c>
      <c r="I54" s="177">
        <f>ROUND('[3]表6资金使用成效（预算执行率）原稿'!I83,2)</f>
        <v>5159</v>
      </c>
      <c r="J54" s="177">
        <f>ROUND('[3]表6资金使用成效（预算执行率）原稿'!J83,2)</f>
        <v>0</v>
      </c>
      <c r="K54" s="177">
        <f>ROUND('[3]表6资金使用成效（预算执行率）原稿'!K83,2)</f>
        <v>2161.22</v>
      </c>
      <c r="L54" s="172">
        <f t="shared" si="0"/>
        <v>0.977383249973362</v>
      </c>
    </row>
    <row r="55" ht="14.25" spans="1:12">
      <c r="A55" s="176" t="s">
        <v>297</v>
      </c>
      <c r="B55" s="176" t="s">
        <v>85</v>
      </c>
      <c r="C55" s="177">
        <f>ROUND('[3]表6资金使用成效（预算执行率）原稿'!C84,2)</f>
        <v>2726.52</v>
      </c>
      <c r="D55" s="177">
        <f>ROUND('[3]表6资金使用成效（预算执行率）原稿'!D84,2)</f>
        <v>0</v>
      </c>
      <c r="E55" s="177">
        <f>ROUND('[3]表6资金使用成效（预算执行率）原稿'!E84,2)</f>
        <v>0</v>
      </c>
      <c r="F55" s="177">
        <f>ROUND('[3]表6资金使用成效（预算执行率）原稿'!F84,2)</f>
        <v>2726.52</v>
      </c>
      <c r="G55" s="177">
        <f>ROUND('[3]表6资金使用成效（预算执行率）原稿'!G84,2)</f>
        <v>32732.93</v>
      </c>
      <c r="H55" s="177">
        <f>ROUND('[3]表6资金使用成效（预算执行率）原稿'!H84,2)</f>
        <v>28304.93</v>
      </c>
      <c r="I55" s="177">
        <f>ROUND('[3]表6资金使用成效（预算执行率）原稿'!I84,2)</f>
        <v>4428</v>
      </c>
      <c r="J55" s="177">
        <f>ROUND('[3]表6资金使用成效（预算执行率）原稿'!J84,2)</f>
        <v>0</v>
      </c>
      <c r="K55" s="177">
        <f>ROUND('[3]表6资金使用成效（预算执行率）原稿'!K84,2)</f>
        <v>0</v>
      </c>
      <c r="L55" s="172">
        <f t="shared" si="0"/>
        <v>0.916704065294491</v>
      </c>
    </row>
    <row r="56" ht="14.25" spans="1:12">
      <c r="A56" s="176" t="s">
        <v>298</v>
      </c>
      <c r="B56" s="176" t="s">
        <v>86</v>
      </c>
      <c r="C56" s="177">
        <f>ROUND('[3]表6资金使用成效（预算执行率）原稿'!C85,2)</f>
        <v>374.59</v>
      </c>
      <c r="D56" s="177">
        <f>ROUND('[3]表6资金使用成效（预算执行率）原稿'!D85,2)</f>
        <v>0</v>
      </c>
      <c r="E56" s="177">
        <f>ROUND('[3]表6资金使用成效（预算执行率）原稿'!E85,2)</f>
        <v>0</v>
      </c>
      <c r="F56" s="177">
        <f>ROUND('[3]表6资金使用成效（预算执行率）原稿'!F85,2)</f>
        <v>374.59</v>
      </c>
      <c r="G56" s="177">
        <f>ROUND('[3]表6资金使用成效（预算执行率）原稿'!G85,2)</f>
        <v>34813.76</v>
      </c>
      <c r="H56" s="177">
        <f>ROUND('[3]表6资金使用成效（预算执行率）原稿'!H85,2)</f>
        <v>28846.33</v>
      </c>
      <c r="I56" s="177">
        <f>ROUND('[3]表6资金使用成效（预算执行率）原稿'!I85,2)</f>
        <v>5844</v>
      </c>
      <c r="J56" s="177">
        <f>ROUND('[3]表6资金使用成效（预算执行率）原稿'!J85,2)</f>
        <v>0</v>
      </c>
      <c r="K56" s="177">
        <f>ROUND('[3]表6资金使用成效（预算执行率）原稿'!K85,2)</f>
        <v>123.43</v>
      </c>
      <c r="L56" s="172">
        <f t="shared" si="0"/>
        <v>0.989240174000166</v>
      </c>
    </row>
    <row r="57" ht="14.25" spans="1:12">
      <c r="A57" s="176" t="s">
        <v>299</v>
      </c>
      <c r="B57" s="176" t="s">
        <v>87</v>
      </c>
      <c r="C57" s="177">
        <f>ROUND('[3]表6资金使用成效（预算执行率）原稿'!C86,2)</f>
        <v>2037.79</v>
      </c>
      <c r="D57" s="177">
        <f>ROUND('[3]表6资金使用成效（预算执行率）原稿'!D86,2)</f>
        <v>0</v>
      </c>
      <c r="E57" s="177">
        <f>ROUND('[3]表6资金使用成效（预算执行率）原稿'!E86,2)</f>
        <v>0</v>
      </c>
      <c r="F57" s="177">
        <f>ROUND('[3]表6资金使用成效（预算执行率）原稿'!F86,2)</f>
        <v>2037.79</v>
      </c>
      <c r="G57" s="177">
        <f>ROUND('[3]表6资金使用成效（预算执行率）原稿'!G86,2)</f>
        <v>28584.7</v>
      </c>
      <c r="H57" s="177">
        <f>ROUND('[3]表6资金使用成效（预算执行率）原稿'!H86,2)</f>
        <v>24821.7</v>
      </c>
      <c r="I57" s="177">
        <f>ROUND('[3]表6资金使用成效（预算执行率）原稿'!I86,2)</f>
        <v>3763</v>
      </c>
      <c r="J57" s="177">
        <f>ROUND('[3]表6资金使用成效（预算执行率）原稿'!J86,2)</f>
        <v>0</v>
      </c>
      <c r="K57" s="177">
        <f>ROUND('[3]表6资金使用成效（预算执行率）原稿'!K86,2)</f>
        <v>0</v>
      </c>
      <c r="L57" s="172">
        <f t="shared" si="0"/>
        <v>0.928710463989477</v>
      </c>
    </row>
    <row r="58" ht="14.25" spans="1:12">
      <c r="A58" s="176" t="s">
        <v>300</v>
      </c>
      <c r="B58" s="176" t="s">
        <v>88</v>
      </c>
      <c r="C58" s="177">
        <f>ROUND('[3]表6资金使用成效（预算执行率）原稿'!C87,2)</f>
        <v>1306.86</v>
      </c>
      <c r="D58" s="177">
        <f>ROUND('[3]表6资金使用成效（预算执行率）原稿'!D87,2)</f>
        <v>0</v>
      </c>
      <c r="E58" s="177">
        <f>ROUND('[3]表6资金使用成效（预算执行率）原稿'!E87,2)</f>
        <v>0</v>
      </c>
      <c r="F58" s="177">
        <f>ROUND('[3]表6资金使用成效（预算执行率）原稿'!F87,2)</f>
        <v>1306.86</v>
      </c>
      <c r="G58" s="177">
        <f>ROUND('[3]表6资金使用成效（预算执行率）原稿'!G87,2)</f>
        <v>34330.24</v>
      </c>
      <c r="H58" s="177">
        <f>ROUND('[3]表6资金使用成效（预算执行率）原稿'!H87,2)</f>
        <v>24719.24</v>
      </c>
      <c r="I58" s="177">
        <f>ROUND('[3]表6资金使用成效（预算执行率）原稿'!I87,2)</f>
        <v>5464</v>
      </c>
      <c r="J58" s="177">
        <f>ROUND('[3]表6资金使用成效（预算执行率）原稿'!J87,2)</f>
        <v>0</v>
      </c>
      <c r="K58" s="177">
        <f>ROUND('[3]表6资金使用成效（预算执行率）原稿'!K87,2)</f>
        <v>4147</v>
      </c>
      <c r="L58" s="172">
        <f t="shared" si="0"/>
        <v>0.961932686750806</v>
      </c>
    </row>
    <row r="59" ht="14.25" spans="1:12">
      <c r="A59" s="176" t="s">
        <v>301</v>
      </c>
      <c r="B59" s="176" t="s">
        <v>89</v>
      </c>
      <c r="C59" s="177">
        <f>ROUND('[3]表6资金使用成效（预算执行率）原稿'!C88,2)</f>
        <v>2124.49</v>
      </c>
      <c r="D59" s="177">
        <f>ROUND('[3]表6资金使用成效（预算执行率）原稿'!D88,2)</f>
        <v>0</v>
      </c>
      <c r="E59" s="177">
        <f>ROUND('[3]表6资金使用成效（预算执行率）原稿'!E88,2)</f>
        <v>0</v>
      </c>
      <c r="F59" s="177">
        <f>ROUND('[3]表6资金使用成效（预算执行率）原稿'!F88,2)</f>
        <v>2124.49</v>
      </c>
      <c r="G59" s="177">
        <f>ROUND('[3]表6资金使用成效（预算执行率）原稿'!G88,2)</f>
        <v>42257.87</v>
      </c>
      <c r="H59" s="177">
        <f>ROUND('[3]表6资金使用成效（预算执行率）原稿'!H88,2)</f>
        <v>33651.3</v>
      </c>
      <c r="I59" s="177">
        <f>ROUND('[3]表6资金使用成效（预算执行率）原稿'!I88,2)</f>
        <v>5582</v>
      </c>
      <c r="J59" s="177">
        <f>ROUND('[3]表6资金使用成效（预算执行率）原稿'!J88,2)</f>
        <v>0</v>
      </c>
      <c r="K59" s="177">
        <f>ROUND('[3]表6资金使用成效（预算执行率）原稿'!K88,2)</f>
        <v>3024.57</v>
      </c>
      <c r="L59" s="172">
        <f t="shared" si="0"/>
        <v>0.949725577744453</v>
      </c>
    </row>
    <row r="60" ht="14.25" spans="1:12">
      <c r="A60" s="176" t="s">
        <v>302</v>
      </c>
      <c r="B60" s="176" t="s">
        <v>92</v>
      </c>
      <c r="C60" s="177">
        <f>ROUND('[3]表6资金使用成效（预算执行率）原稿'!C89,2)</f>
        <v>776.14</v>
      </c>
      <c r="D60" s="177">
        <f>ROUND('[3]表6资金使用成效（预算执行率）原稿'!D89,2)</f>
        <v>0</v>
      </c>
      <c r="E60" s="177">
        <f>ROUND('[3]表6资金使用成效（预算执行率）原稿'!E89,2)</f>
        <v>0</v>
      </c>
      <c r="F60" s="177">
        <f>ROUND('[3]表6资金使用成效（预算执行率）原稿'!F89,2)</f>
        <v>776.14</v>
      </c>
      <c r="G60" s="177">
        <f>ROUND('[3]表6资金使用成效（预算执行率）原稿'!G89,2)</f>
        <v>19934.93</v>
      </c>
      <c r="H60" s="177">
        <f>ROUND('[3]表6资金使用成效（预算执行率）原稿'!H89,2)</f>
        <v>14311.5</v>
      </c>
      <c r="I60" s="177">
        <f>ROUND('[3]表6资金使用成效（预算执行率）原稿'!I89,2)</f>
        <v>5429</v>
      </c>
      <c r="J60" s="177">
        <f>ROUND('[3]表6资金使用成效（预算执行率）原稿'!J89,2)</f>
        <v>0</v>
      </c>
      <c r="K60" s="177">
        <f>ROUND('[3]表6资金使用成效（预算执行率）原稿'!K89,2)</f>
        <v>194.43</v>
      </c>
      <c r="L60" s="172">
        <f t="shared" si="0"/>
        <v>0.961066329302385</v>
      </c>
    </row>
    <row r="61" ht="14.25" spans="1:12">
      <c r="A61" s="176" t="s">
        <v>303</v>
      </c>
      <c r="B61" s="176" t="s">
        <v>71</v>
      </c>
      <c r="C61" s="177">
        <f>ROUND('[3]表6资金使用成效（预算执行率）原稿'!C90,2)</f>
        <v>192.91</v>
      </c>
      <c r="D61" s="177">
        <f>ROUND('[3]表6资金使用成效（预算执行率）原稿'!D90,2)</f>
        <v>0</v>
      </c>
      <c r="E61" s="177">
        <f>ROUND('[3]表6资金使用成效（预算执行率）原稿'!E90,2)</f>
        <v>0</v>
      </c>
      <c r="F61" s="177">
        <f>ROUND('[3]表6资金使用成效（预算执行率）原稿'!F90,2)</f>
        <v>192.91</v>
      </c>
      <c r="G61" s="177">
        <f>ROUND('[3]表6资金使用成效（预算执行率）原稿'!G90,2)</f>
        <v>3573</v>
      </c>
      <c r="H61" s="177">
        <f>ROUND('[3]表6资金使用成效（预算执行率）原稿'!H90,2)</f>
        <v>1262</v>
      </c>
      <c r="I61" s="177">
        <f>ROUND('[3]表6资金使用成效（预算执行率）原稿'!I90,2)</f>
        <v>508</v>
      </c>
      <c r="J61" s="177">
        <f>ROUND('[3]表6资金使用成效（预算执行率）原稿'!J90,2)</f>
        <v>1803</v>
      </c>
      <c r="K61" s="177">
        <f>ROUND('[3]表6资金使用成效（预算执行率）原稿'!K90,2)</f>
        <v>0</v>
      </c>
      <c r="L61" s="172">
        <f t="shared" si="0"/>
        <v>0.946008956059334</v>
      </c>
    </row>
    <row r="62" ht="14.25" spans="1:12">
      <c r="A62" s="176" t="s">
        <v>304</v>
      </c>
      <c r="B62" s="176" t="s">
        <v>95</v>
      </c>
      <c r="C62" s="177">
        <f>ROUND('[3]表6资金使用成效（预算执行率）原稿'!C91,2)</f>
        <v>6889.32</v>
      </c>
      <c r="D62" s="177">
        <f>ROUND('[3]表6资金使用成效（预算执行率）原稿'!D91,2)</f>
        <v>0</v>
      </c>
      <c r="E62" s="177">
        <f>ROUND('[3]表6资金使用成效（预算执行率）原稿'!E91,2)</f>
        <v>0</v>
      </c>
      <c r="F62" s="177">
        <f>ROUND('[3]表6资金使用成效（预算执行率）原稿'!F91,2)</f>
        <v>6889.32</v>
      </c>
      <c r="G62" s="177">
        <f>ROUND('[3]表6资金使用成效（预算执行率）原稿'!G91,2)</f>
        <v>139357.33</v>
      </c>
      <c r="H62" s="177">
        <f>ROUND('[3]表6资金使用成效（预算执行率）原稿'!H91,2)</f>
        <v>103172</v>
      </c>
      <c r="I62" s="177">
        <f>ROUND('[3]表6资金使用成效（预算执行率）原稿'!I91,2)</f>
        <v>35185.33</v>
      </c>
      <c r="J62" s="177">
        <f>ROUND('[3]表6资金使用成效（预算执行率）原稿'!J91,2)</f>
        <v>0</v>
      </c>
      <c r="K62" s="177">
        <f>ROUND('[3]表6资金使用成效（预算执行率）原稿'!K91,2)</f>
        <v>1000</v>
      </c>
      <c r="L62" s="172">
        <f t="shared" si="0"/>
        <v>0.950563633789482</v>
      </c>
    </row>
    <row r="63" ht="14.25" spans="1:12">
      <c r="A63" s="176" t="s">
        <v>305</v>
      </c>
      <c r="B63" s="176" t="s">
        <v>96</v>
      </c>
      <c r="C63" s="177">
        <f>ROUND('[3]表6资金使用成效（预算执行率）原稿'!C92,2)</f>
        <v>2458.67</v>
      </c>
      <c r="D63" s="177">
        <f>ROUND('[3]表6资金使用成效（预算执行率）原稿'!D92,2)</f>
        <v>0</v>
      </c>
      <c r="E63" s="177">
        <f>ROUND('[3]表6资金使用成效（预算执行率）原稿'!E92,2)</f>
        <v>0</v>
      </c>
      <c r="F63" s="177">
        <f>ROUND('[3]表6资金使用成效（预算执行率）原稿'!F92,2)</f>
        <v>2458.67</v>
      </c>
      <c r="G63" s="177">
        <f>ROUND('[3]表6资金使用成效（预算执行率）原稿'!G92,2)</f>
        <v>51517.8</v>
      </c>
      <c r="H63" s="177">
        <f>ROUND('[3]表6资金使用成效（预算执行率）原稿'!H92,2)</f>
        <v>45504.8</v>
      </c>
      <c r="I63" s="177">
        <f>ROUND('[3]表6资金使用成效（预算执行率）原稿'!I92,2)</f>
        <v>6013</v>
      </c>
      <c r="J63" s="177">
        <f>ROUND('[3]表6资金使用成效（预算执行率）原稿'!J92,2)</f>
        <v>0</v>
      </c>
      <c r="K63" s="177">
        <f>ROUND('[3]表6资金使用成效（预算执行率）原稿'!K92,2)</f>
        <v>0</v>
      </c>
      <c r="L63" s="172">
        <f t="shared" si="0"/>
        <v>0.952275330080089</v>
      </c>
    </row>
    <row r="64" ht="14.25" spans="1:12">
      <c r="A64" s="176" t="s">
        <v>306</v>
      </c>
      <c r="B64" s="176" t="s">
        <v>97</v>
      </c>
      <c r="C64" s="177">
        <f>ROUND('[3]表6资金使用成效（预算执行率）原稿'!C93,2)</f>
        <v>884.89</v>
      </c>
      <c r="D64" s="177">
        <f>ROUND('[3]表6资金使用成效（预算执行率）原稿'!D93,2)</f>
        <v>0</v>
      </c>
      <c r="E64" s="177">
        <f>ROUND('[3]表6资金使用成效（预算执行率）原稿'!E93,2)</f>
        <v>0</v>
      </c>
      <c r="F64" s="177">
        <f>ROUND('[3]表6资金使用成效（预算执行率）原稿'!F93,2)</f>
        <v>884.89</v>
      </c>
      <c r="G64" s="177">
        <f>ROUND('[3]表6资金使用成效（预算执行率）原稿'!G93,2)</f>
        <v>17446.38</v>
      </c>
      <c r="H64" s="177">
        <f>ROUND('[3]表6资金使用成效（预算执行率）原稿'!H93,2)</f>
        <v>15516.38</v>
      </c>
      <c r="I64" s="177">
        <f>ROUND('[3]表6资金使用成效（预算执行率）原稿'!I93,2)</f>
        <v>1930</v>
      </c>
      <c r="J64" s="177">
        <f>ROUND('[3]表6资金使用成效（预算执行率）原稿'!J93,2)</f>
        <v>0</v>
      </c>
      <c r="K64" s="177">
        <f>ROUND('[3]表6资金使用成效（预算执行率）原稿'!K93,2)</f>
        <v>0</v>
      </c>
      <c r="L64" s="172">
        <f t="shared" si="0"/>
        <v>0.949279449375744</v>
      </c>
    </row>
    <row r="65" ht="14.25" spans="1:12">
      <c r="A65" s="176" t="s">
        <v>307</v>
      </c>
      <c r="B65" s="176" t="s">
        <v>98</v>
      </c>
      <c r="C65" s="177">
        <f>ROUND('[3]表6资金使用成效（预算执行率）原稿'!C94,2)</f>
        <v>0</v>
      </c>
      <c r="D65" s="177">
        <f>ROUND('[3]表6资金使用成效（预算执行率）原稿'!D94,2)</f>
        <v>0</v>
      </c>
      <c r="E65" s="177">
        <f>ROUND('[3]表6资金使用成效（预算执行率）原稿'!E94,2)</f>
        <v>0</v>
      </c>
      <c r="F65" s="177">
        <f>ROUND('[3]表6资金使用成效（预算执行率）原稿'!F94,2)</f>
        <v>0</v>
      </c>
      <c r="G65" s="177">
        <f>ROUND('[3]表6资金使用成效（预算执行率）原稿'!G94,2)</f>
        <v>7133</v>
      </c>
      <c r="H65" s="177">
        <f>ROUND('[3]表6资金使用成效（预算执行率）原稿'!H94,2)</f>
        <v>3515</v>
      </c>
      <c r="I65" s="177">
        <f>ROUND('[3]表6资金使用成效（预算执行率）原稿'!I94,2)</f>
        <v>3490</v>
      </c>
      <c r="J65" s="177">
        <f>ROUND('[3]表6资金使用成效（预算执行率）原稿'!J94,2)</f>
        <v>0</v>
      </c>
      <c r="K65" s="177">
        <f>ROUND('[3]表6资金使用成效（预算执行率）原稿'!K94,2)</f>
        <v>128</v>
      </c>
      <c r="L65" s="172">
        <f t="shared" si="0"/>
        <v>1</v>
      </c>
    </row>
    <row r="66" ht="14.25" spans="1:12">
      <c r="A66" s="176" t="s">
        <v>308</v>
      </c>
      <c r="B66" s="176" t="s">
        <v>206</v>
      </c>
      <c r="C66" s="177">
        <f>ROUND('[3]表6资金使用成效（预算执行率）原稿'!C95,2)</f>
        <v>125.26</v>
      </c>
      <c r="D66" s="177">
        <f>ROUND('[3]表6资金使用成效（预算执行率）原稿'!D95,2)</f>
        <v>0</v>
      </c>
      <c r="E66" s="177">
        <f>ROUND('[3]表6资金使用成效（预算执行率）原稿'!E95,2)</f>
        <v>0</v>
      </c>
      <c r="F66" s="177">
        <f>ROUND('[3]表6资金使用成效（预算执行率）原稿'!F95,2)</f>
        <v>125.26</v>
      </c>
      <c r="G66" s="177">
        <f>ROUND('[3]表6资金使用成效（预算执行率）原稿'!G95,2)</f>
        <v>4613.06</v>
      </c>
      <c r="H66" s="177">
        <f>ROUND('[3]表6资金使用成效（预算执行率）原稿'!H95,2)</f>
        <v>3044</v>
      </c>
      <c r="I66" s="177">
        <f>ROUND('[3]表6资金使用成效（预算执行率）原稿'!I95,2)</f>
        <v>695</v>
      </c>
      <c r="J66" s="177">
        <f>ROUND('[3]表6资金使用成效（预算执行率）原稿'!J95,2)</f>
        <v>300</v>
      </c>
      <c r="K66" s="177">
        <f>ROUND('[3]表6资金使用成效（预算执行率）原稿'!K95,2)</f>
        <v>574.06</v>
      </c>
      <c r="L66" s="172">
        <f t="shared" si="0"/>
        <v>0.972846657099626</v>
      </c>
    </row>
    <row r="67" ht="14.25" spans="1:12">
      <c r="A67" s="176" t="s">
        <v>309</v>
      </c>
      <c r="B67" s="176" t="s">
        <v>207</v>
      </c>
      <c r="C67" s="177">
        <f>ROUND('[3]表6资金使用成效（预算执行率）原稿'!C96,2)</f>
        <v>218.6</v>
      </c>
      <c r="D67" s="177">
        <f>ROUND('[3]表6资金使用成效（预算执行率）原稿'!D96,2)</f>
        <v>0</v>
      </c>
      <c r="E67" s="177">
        <f>ROUND('[3]表6资金使用成效（预算执行率）原稿'!E96,2)</f>
        <v>0</v>
      </c>
      <c r="F67" s="177">
        <f>ROUND('[3]表6资金使用成效（预算执行率）原稿'!F96,2)</f>
        <v>218.6</v>
      </c>
      <c r="G67" s="177">
        <f>ROUND('[3]表6资金使用成效（预算执行率）原稿'!G96,2)</f>
        <v>7213.26</v>
      </c>
      <c r="H67" s="177">
        <f>ROUND('[3]表6资金使用成效（预算执行率）原稿'!H96,2)</f>
        <v>4425</v>
      </c>
      <c r="I67" s="177">
        <f>ROUND('[3]表6资金使用成效（预算执行率）原稿'!I96,2)</f>
        <v>1062</v>
      </c>
      <c r="J67" s="177">
        <f>ROUND('[3]表6资金使用成效（预算执行率）原稿'!J96,2)</f>
        <v>800</v>
      </c>
      <c r="K67" s="177">
        <f>ROUND('[3]表6资金使用成效（预算执行率）原稿'!K96,2)</f>
        <v>926.26</v>
      </c>
      <c r="L67" s="172">
        <f t="shared" ref="L67:L126" si="1">1-F67/G67</f>
        <v>0.969694701147609</v>
      </c>
    </row>
    <row r="68" ht="14.25" spans="1:12">
      <c r="A68" s="176" t="s">
        <v>310</v>
      </c>
      <c r="B68" s="176" t="s">
        <v>208</v>
      </c>
      <c r="C68" s="177">
        <f>ROUND('[3]表6资金使用成效（预算执行率）原稿'!C97,2)</f>
        <v>805.25</v>
      </c>
      <c r="D68" s="177">
        <f>ROUND('[3]表6资金使用成效（预算执行率）原稿'!D97,2)</f>
        <v>0</v>
      </c>
      <c r="E68" s="177">
        <f>ROUND('[3]表6资金使用成效（预算执行率）原稿'!E97,2)</f>
        <v>0</v>
      </c>
      <c r="F68" s="177">
        <f>ROUND('[3]表6资金使用成效（预算执行率）原稿'!F97,2)</f>
        <v>805.25</v>
      </c>
      <c r="G68" s="177">
        <f>ROUND('[3]表6资金使用成效（预算执行率）原稿'!G97,2)</f>
        <v>15359.3</v>
      </c>
      <c r="H68" s="177">
        <f>ROUND('[3]表6资金使用成效（预算执行率）原稿'!H97,2)</f>
        <v>11322</v>
      </c>
      <c r="I68" s="177">
        <f>ROUND('[3]表6资金使用成效（预算执行率）原稿'!I97,2)</f>
        <v>1910</v>
      </c>
      <c r="J68" s="177">
        <f>ROUND('[3]表6资金使用成效（预算执行率）原稿'!J97,2)</f>
        <v>1800</v>
      </c>
      <c r="K68" s="177">
        <f>ROUND('[3]表6资金使用成效（预算执行率）原稿'!K97,2)</f>
        <v>327.3</v>
      </c>
      <c r="L68" s="172">
        <f t="shared" si="1"/>
        <v>0.94757248051669</v>
      </c>
    </row>
    <row r="69" ht="14.25" spans="1:12">
      <c r="A69" s="176" t="s">
        <v>311</v>
      </c>
      <c r="B69" s="176" t="s">
        <v>209</v>
      </c>
      <c r="C69" s="177">
        <f>ROUND('[3]表6资金使用成效（预算执行率）原稿'!C98,2)</f>
        <v>418.77</v>
      </c>
      <c r="D69" s="177">
        <f>ROUND('[3]表6资金使用成效（预算执行率）原稿'!D98,2)</f>
        <v>0</v>
      </c>
      <c r="E69" s="177">
        <f>ROUND('[3]表6资金使用成效（预算执行率）原稿'!E98,2)</f>
        <v>0</v>
      </c>
      <c r="F69" s="177">
        <f>ROUND('[3]表6资金使用成效（预算执行率）原稿'!F98,2)</f>
        <v>418.77</v>
      </c>
      <c r="G69" s="177">
        <f>ROUND('[3]表6资金使用成效（预算执行率）原稿'!G98,2)</f>
        <v>5997</v>
      </c>
      <c r="H69" s="177">
        <f>ROUND('[3]表6资金使用成效（预算执行率）原稿'!H98,2)</f>
        <v>2181</v>
      </c>
      <c r="I69" s="177">
        <f>ROUND('[3]表6资金使用成效（预算执行率）原稿'!I98,2)</f>
        <v>2526</v>
      </c>
      <c r="J69" s="177">
        <f>ROUND('[3]表6资金使用成效（预算执行率）原稿'!J98,2)</f>
        <v>900</v>
      </c>
      <c r="K69" s="177">
        <f>ROUND('[3]表6资金使用成效（预算执行率）原稿'!K98,2)</f>
        <v>390</v>
      </c>
      <c r="L69" s="172">
        <f t="shared" si="1"/>
        <v>0.930170085042521</v>
      </c>
    </row>
    <row r="70" ht="14.25" spans="1:12">
      <c r="A70" s="176" t="s">
        <v>312</v>
      </c>
      <c r="B70" s="176" t="s">
        <v>210</v>
      </c>
      <c r="C70" s="177">
        <f>ROUND('[3]表6资金使用成效（预算执行率）原稿'!C99,2)</f>
        <v>4060.05</v>
      </c>
      <c r="D70" s="177">
        <f>ROUND('[3]表6资金使用成效（预算执行率）原稿'!D99,2)</f>
        <v>0</v>
      </c>
      <c r="E70" s="177">
        <f>ROUND('[3]表6资金使用成效（预算执行率）原稿'!E99,2)</f>
        <v>0</v>
      </c>
      <c r="F70" s="177">
        <f>ROUND('[3]表6资金使用成效（预算执行率）原稿'!F99,2)</f>
        <v>4060.05</v>
      </c>
      <c r="G70" s="177">
        <f>ROUND('[3]表6资金使用成效（预算执行率）原稿'!G99,2)</f>
        <v>27422</v>
      </c>
      <c r="H70" s="177">
        <f>ROUND('[3]表6资金使用成效（预算执行率）原稿'!H99,2)</f>
        <v>21690</v>
      </c>
      <c r="I70" s="177">
        <f>ROUND('[3]表6资金使用成效（预算执行率）原稿'!I99,2)</f>
        <v>3032</v>
      </c>
      <c r="J70" s="177">
        <f>ROUND('[3]表6资金使用成效（预算执行率）原稿'!J99,2)</f>
        <v>2700</v>
      </c>
      <c r="K70" s="177">
        <f>ROUND('[3]表6资金使用成效（预算执行率）原稿'!K99,2)</f>
        <v>0</v>
      </c>
      <c r="L70" s="172">
        <f t="shared" si="1"/>
        <v>0.851941871490045</v>
      </c>
    </row>
    <row r="71" ht="14.25" spans="1:12">
      <c r="A71" s="176" t="s">
        <v>313</v>
      </c>
      <c r="B71" s="176" t="s">
        <v>149</v>
      </c>
      <c r="C71" s="177">
        <f>ROUND('[3]表6资金使用成效（预算执行率）原稿'!C100,2)</f>
        <v>463.49</v>
      </c>
      <c r="D71" s="177">
        <f>ROUND('[3]表6资金使用成效（预算执行率）原稿'!D100,2)</f>
        <v>0</v>
      </c>
      <c r="E71" s="177">
        <f>ROUND('[3]表6资金使用成效（预算执行率）原稿'!E100,2)</f>
        <v>0</v>
      </c>
      <c r="F71" s="177">
        <f>ROUND('[3]表6资金使用成效（预算执行率）原稿'!F100,2)</f>
        <v>463.49</v>
      </c>
      <c r="G71" s="177">
        <f>ROUND('[3]表6资金使用成效（预算执行率）原稿'!G100,2)</f>
        <v>6193.75</v>
      </c>
      <c r="H71" s="177">
        <f>ROUND('[3]表6资金使用成效（预算执行率）原稿'!H100,2)</f>
        <v>3083.84</v>
      </c>
      <c r="I71" s="177">
        <f>ROUND('[3]表6资金使用成效（预算执行率）原稿'!I100,2)</f>
        <v>2865</v>
      </c>
      <c r="J71" s="177">
        <f>ROUND('[3]表6资金使用成效（预算执行率）原稿'!J100,2)</f>
        <v>100</v>
      </c>
      <c r="K71" s="177">
        <f>ROUND('[3]表6资金使用成效（预算执行率）原稿'!K100,2)</f>
        <v>144.91</v>
      </c>
      <c r="L71" s="172">
        <f t="shared" si="1"/>
        <v>0.925168113017154</v>
      </c>
    </row>
    <row r="72" ht="14.25" spans="1:12">
      <c r="A72" s="176" t="s">
        <v>314</v>
      </c>
      <c r="B72" s="176" t="s">
        <v>73</v>
      </c>
      <c r="C72" s="177">
        <f>ROUND('[3]表6资金使用成效（预算执行率）原稿'!C101,2)</f>
        <v>14</v>
      </c>
      <c r="D72" s="177">
        <f>ROUND('[3]表6资金使用成效（预算执行率）原稿'!D101,2)</f>
        <v>0</v>
      </c>
      <c r="E72" s="177">
        <f>ROUND('[3]表6资金使用成效（预算执行率）原稿'!E101,2)</f>
        <v>0</v>
      </c>
      <c r="F72" s="177">
        <f>ROUND('[3]表6资金使用成效（预算执行率）原稿'!F101,2)</f>
        <v>14</v>
      </c>
      <c r="G72" s="177">
        <f>ROUND('[3]表6资金使用成效（预算执行率）原稿'!G101,2)</f>
        <v>2964</v>
      </c>
      <c r="H72" s="177">
        <f>ROUND('[3]表6资金使用成效（预算执行率）原稿'!H101,2)</f>
        <v>926</v>
      </c>
      <c r="I72" s="177">
        <f>ROUND('[3]表6资金使用成效（预算执行率）原稿'!I101,2)</f>
        <v>192</v>
      </c>
      <c r="J72" s="177">
        <f>ROUND('[3]表6资金使用成效（预算执行率）原稿'!J101,2)</f>
        <v>1846</v>
      </c>
      <c r="K72" s="177">
        <f>ROUND('[3]表6资金使用成效（预算执行率）原稿'!K101,2)</f>
        <v>0</v>
      </c>
      <c r="L72" s="172">
        <f t="shared" si="1"/>
        <v>0.99527665317139</v>
      </c>
    </row>
    <row r="73" ht="14.25" spans="1:12">
      <c r="A73" s="176" t="s">
        <v>315</v>
      </c>
      <c r="B73" s="176" t="s">
        <v>150</v>
      </c>
      <c r="C73" s="177">
        <f>ROUND('[3]表6资金使用成效（预算执行率）原稿'!C102,2)</f>
        <v>280.41</v>
      </c>
      <c r="D73" s="177">
        <f>ROUND('[3]表6资金使用成效（预算执行率）原稿'!D102,2)</f>
        <v>0</v>
      </c>
      <c r="E73" s="177">
        <f>ROUND('[3]表6资金使用成效（预算执行率）原稿'!E102,2)</f>
        <v>0</v>
      </c>
      <c r="F73" s="177">
        <f>ROUND('[3]表6资金使用成效（预算执行率）原稿'!F102,2)</f>
        <v>280.41</v>
      </c>
      <c r="G73" s="177">
        <f>ROUND('[3]表6资金使用成效（预算执行率）原稿'!G102,2)</f>
        <v>5271.5</v>
      </c>
      <c r="H73" s="177">
        <f>ROUND('[3]表6资金使用成效（预算执行率）原稿'!H102,2)</f>
        <v>4173</v>
      </c>
      <c r="I73" s="177">
        <f>ROUND('[3]表6资金使用成效（预算执行率）原稿'!I102,2)</f>
        <v>882</v>
      </c>
      <c r="J73" s="177">
        <f>ROUND('[3]表6资金使用成效（预算执行率）原稿'!J102,2)</f>
        <v>100</v>
      </c>
      <c r="K73" s="177">
        <f>ROUND('[3]表6资金使用成效（预算执行率）原稿'!K102,2)</f>
        <v>116.5</v>
      </c>
      <c r="L73" s="172">
        <f t="shared" si="1"/>
        <v>0.946806411837238</v>
      </c>
    </row>
    <row r="74" ht="14.25" spans="1:12">
      <c r="A74" s="176" t="s">
        <v>316</v>
      </c>
      <c r="B74" s="176" t="s">
        <v>151</v>
      </c>
      <c r="C74" s="177">
        <f>ROUND('[3]表6资金使用成效（预算执行率）原稿'!C103,2)</f>
        <v>1419.5</v>
      </c>
      <c r="D74" s="177">
        <f>ROUND('[3]表6资金使用成效（预算执行率）原稿'!D103,2)</f>
        <v>0</v>
      </c>
      <c r="E74" s="177">
        <f>ROUND('[3]表6资金使用成效（预算执行率）原稿'!E103,2)</f>
        <v>0</v>
      </c>
      <c r="F74" s="177">
        <f>ROUND('[3]表6资金使用成效（预算执行率）原稿'!F103,2)</f>
        <v>1419.5</v>
      </c>
      <c r="G74" s="177">
        <f>ROUND('[3]表6资金使用成效（预算执行率）原稿'!G103,2)</f>
        <v>21641.87</v>
      </c>
      <c r="H74" s="177">
        <f>ROUND('[3]表6资金使用成效（预算执行率）原稿'!H103,2)</f>
        <v>15587</v>
      </c>
      <c r="I74" s="177">
        <f>ROUND('[3]表6资金使用成效（预算执行率）原稿'!I103,2)</f>
        <v>3574</v>
      </c>
      <c r="J74" s="177">
        <f>ROUND('[3]表6资金使用成效（预算执行率）原稿'!J103,2)</f>
        <v>640</v>
      </c>
      <c r="K74" s="177">
        <f>ROUND('[3]表6资金使用成效（预算执行率）原稿'!K103,2)</f>
        <v>1840.87</v>
      </c>
      <c r="L74" s="172">
        <f t="shared" si="1"/>
        <v>0.934409549636884</v>
      </c>
    </row>
    <row r="75" ht="14.25" spans="1:12">
      <c r="A75" s="176" t="s">
        <v>317</v>
      </c>
      <c r="B75" s="176" t="s">
        <v>152</v>
      </c>
      <c r="C75" s="177">
        <f>ROUND('[3]表6资金使用成效（预算执行率）原稿'!C104,2)</f>
        <v>3823.39</v>
      </c>
      <c r="D75" s="177">
        <f>ROUND('[3]表6资金使用成效（预算执行率）原稿'!D104,2)</f>
        <v>0</v>
      </c>
      <c r="E75" s="177">
        <f>ROUND('[3]表6资金使用成效（预算执行率）原稿'!E104,2)</f>
        <v>0</v>
      </c>
      <c r="F75" s="177">
        <f>ROUND('[3]表6资金使用成效（预算执行率）原稿'!F104,2)</f>
        <v>3823.39</v>
      </c>
      <c r="G75" s="177">
        <f>ROUND('[3]表6资金使用成效（预算执行率）原稿'!G104,2)</f>
        <v>13710.75</v>
      </c>
      <c r="H75" s="177">
        <f>ROUND('[3]表6资金使用成效（预算执行率）原稿'!H104,2)</f>
        <v>10145.6</v>
      </c>
      <c r="I75" s="177">
        <f>ROUND('[3]表6资金使用成效（预算执行率）原稿'!I104,2)</f>
        <v>2116</v>
      </c>
      <c r="J75" s="177">
        <f>ROUND('[3]表6资金使用成效（预算执行率）原稿'!J104,2)</f>
        <v>100</v>
      </c>
      <c r="K75" s="177">
        <f>ROUND('[3]表6资金使用成效（预算执行率）原稿'!K104,2)</f>
        <v>1349.15</v>
      </c>
      <c r="L75" s="172">
        <f t="shared" si="1"/>
        <v>0.721139252046752</v>
      </c>
    </row>
    <row r="76" ht="14.25" spans="1:12">
      <c r="A76" s="176" t="s">
        <v>318</v>
      </c>
      <c r="B76" s="176" t="s">
        <v>153</v>
      </c>
      <c r="C76" s="177">
        <f>ROUND('[3]表6资金使用成效（预算执行率）原稿'!C105,2)</f>
        <v>2231.85</v>
      </c>
      <c r="D76" s="177">
        <f>ROUND('[3]表6资金使用成效（预算执行率）原稿'!D105,2)</f>
        <v>0</v>
      </c>
      <c r="E76" s="177">
        <f>ROUND('[3]表6资金使用成效（预算执行率）原稿'!E105,2)</f>
        <v>0</v>
      </c>
      <c r="F76" s="177">
        <f>ROUND('[3]表6资金使用成效（预算执行率）原稿'!F105,2)</f>
        <v>2231.85</v>
      </c>
      <c r="G76" s="177">
        <f>ROUND('[3]表6资金使用成效（预算执行率）原稿'!G105,2)</f>
        <v>28293</v>
      </c>
      <c r="H76" s="177">
        <f>ROUND('[3]表6资金使用成效（预算执行率）原稿'!H105,2)</f>
        <v>6511</v>
      </c>
      <c r="I76" s="177">
        <f>ROUND('[3]表6资金使用成效（预算执行率）原稿'!I105,2)</f>
        <v>2695</v>
      </c>
      <c r="J76" s="177">
        <f>ROUND('[3]表6资金使用成效（预算执行率）原稿'!J105,2)</f>
        <v>0</v>
      </c>
      <c r="K76" s="177">
        <f>ROUND('[3]表6资金使用成效（预算执行率）原稿'!K105,2)</f>
        <v>19087</v>
      </c>
      <c r="L76" s="172">
        <f t="shared" si="1"/>
        <v>0.921116530590605</v>
      </c>
    </row>
    <row r="77" ht="14.25" spans="1:12">
      <c r="A77" s="176" t="s">
        <v>319</v>
      </c>
      <c r="B77" s="176" t="s">
        <v>154</v>
      </c>
      <c r="C77" s="177">
        <f>ROUND('[3]表6资金使用成效（预算执行率）原稿'!C106,2)</f>
        <v>593</v>
      </c>
      <c r="D77" s="177">
        <f>ROUND('[3]表6资金使用成效（预算执行率）原稿'!D106,2)</f>
        <v>0</v>
      </c>
      <c r="E77" s="177">
        <f>ROUND('[3]表6资金使用成效（预算执行率）原稿'!E106,2)</f>
        <v>0</v>
      </c>
      <c r="F77" s="177">
        <f>ROUND('[3]表6资金使用成效（预算执行率）原稿'!F106,2)</f>
        <v>593</v>
      </c>
      <c r="G77" s="177">
        <f>ROUND('[3]表6资金使用成效（预算执行率）原稿'!G106,2)</f>
        <v>15383.05</v>
      </c>
      <c r="H77" s="177">
        <f>ROUND('[3]表6资金使用成效（预算执行率）原稿'!H106,2)</f>
        <v>5121</v>
      </c>
      <c r="I77" s="177">
        <f>ROUND('[3]表6资金使用成效（预算执行率）原稿'!I106,2)</f>
        <v>2475</v>
      </c>
      <c r="J77" s="177">
        <f>ROUND('[3]表6资金使用成效（预算执行率）原稿'!J106,2)</f>
        <v>100</v>
      </c>
      <c r="K77" s="177">
        <f>ROUND('[3]表6资金使用成效（预算执行率）原稿'!K106,2)</f>
        <v>7687.05</v>
      </c>
      <c r="L77" s="172">
        <f t="shared" si="1"/>
        <v>0.961451077647151</v>
      </c>
    </row>
    <row r="78" ht="14.25" spans="1:12">
      <c r="A78" s="176" t="s">
        <v>320</v>
      </c>
      <c r="B78" s="176" t="s">
        <v>155</v>
      </c>
      <c r="C78" s="177">
        <f>ROUND('[3]表6资金使用成效（预算执行率）原稿'!C107,2)</f>
        <v>1242.03</v>
      </c>
      <c r="D78" s="177">
        <f>ROUND('[3]表6资金使用成效（预算执行率）原稿'!D107,2)</f>
        <v>0</v>
      </c>
      <c r="E78" s="177">
        <f>ROUND('[3]表6资金使用成效（预算执行率）原稿'!E107,2)</f>
        <v>0</v>
      </c>
      <c r="F78" s="177">
        <f>ROUND('[3]表6资金使用成效（预算执行率）原稿'!F107,2)</f>
        <v>1242.03</v>
      </c>
      <c r="G78" s="177">
        <f>ROUND('[3]表6资金使用成效（预算执行率）原稿'!G107,2)</f>
        <v>23640.14</v>
      </c>
      <c r="H78" s="177">
        <f>ROUND('[3]表6资金使用成效（预算执行率）原稿'!H107,2)</f>
        <v>11043.18</v>
      </c>
      <c r="I78" s="177">
        <f>ROUND('[3]表6资金使用成效（预算执行率）原稿'!I107,2)</f>
        <v>5334</v>
      </c>
      <c r="J78" s="177">
        <f>ROUND('[3]表6资金使用成效（预算执行率）原稿'!J107,2)</f>
        <v>400</v>
      </c>
      <c r="K78" s="177">
        <f>ROUND('[3]表6资金使用成效（预算执行率）原稿'!K107,2)</f>
        <v>6862.96</v>
      </c>
      <c r="L78" s="172">
        <f t="shared" si="1"/>
        <v>0.947460971043319</v>
      </c>
    </row>
    <row r="79" ht="14.25" spans="1:12">
      <c r="A79" s="176" t="s">
        <v>321</v>
      </c>
      <c r="B79" s="176" t="s">
        <v>156</v>
      </c>
      <c r="C79" s="177">
        <f>ROUND('[3]表6资金使用成效（预算执行率）原稿'!C108,2)</f>
        <v>788.05</v>
      </c>
      <c r="D79" s="177">
        <f>ROUND('[3]表6资金使用成效（预算执行率）原稿'!D108,2)</f>
        <v>0</v>
      </c>
      <c r="E79" s="177">
        <f>ROUND('[3]表6资金使用成效（预算执行率）原稿'!E108,2)</f>
        <v>0</v>
      </c>
      <c r="F79" s="177">
        <f>ROUND('[3]表6资金使用成效（预算执行率）原稿'!F108,2)</f>
        <v>788.05</v>
      </c>
      <c r="G79" s="177">
        <f>ROUND('[3]表6资金使用成效（预算执行率）原稿'!G108,2)</f>
        <v>17163.47</v>
      </c>
      <c r="H79" s="177">
        <f>ROUND('[3]表6资金使用成效（预算执行率）原稿'!H108,2)</f>
        <v>8369</v>
      </c>
      <c r="I79" s="177">
        <f>ROUND('[3]表6资金使用成效（预算执行率）原稿'!I108,2)</f>
        <v>3837</v>
      </c>
      <c r="J79" s="177">
        <f>ROUND('[3]表6资金使用成效（预算执行率）原稿'!J108,2)</f>
        <v>941.5</v>
      </c>
      <c r="K79" s="177">
        <f>ROUND('[3]表6资金使用成效（预算执行率）原稿'!K108,2)</f>
        <v>4015.97</v>
      </c>
      <c r="L79" s="172">
        <f t="shared" si="1"/>
        <v>0.954085624876555</v>
      </c>
    </row>
    <row r="80" ht="14.25" spans="1:12">
      <c r="A80" s="176" t="s">
        <v>322</v>
      </c>
      <c r="B80" s="176" t="s">
        <v>157</v>
      </c>
      <c r="C80" s="177">
        <f>ROUND('[3]表6资金使用成效（预算执行率）原稿'!C109,2)</f>
        <v>2927.5</v>
      </c>
      <c r="D80" s="177">
        <f>ROUND('[3]表6资金使用成效（预算执行率）原稿'!D109,2)</f>
        <v>0</v>
      </c>
      <c r="E80" s="177">
        <f>ROUND('[3]表6资金使用成效（预算执行率）原稿'!E109,2)</f>
        <v>0</v>
      </c>
      <c r="F80" s="177">
        <f>ROUND('[3]表6资金使用成效（预算执行率）原稿'!F109,2)</f>
        <v>2927.5</v>
      </c>
      <c r="G80" s="177">
        <f>ROUND('[3]表6资金使用成效（预算执行率）原稿'!G109,2)</f>
        <v>44501.38</v>
      </c>
      <c r="H80" s="177">
        <f>ROUND('[3]表6资金使用成效（预算执行率）原稿'!H109,2)</f>
        <v>32809.38</v>
      </c>
      <c r="I80" s="177">
        <f>ROUND('[3]表6资金使用成效（预算执行率）原稿'!I109,2)</f>
        <v>6592</v>
      </c>
      <c r="J80" s="177">
        <f>ROUND('[3]表6资金使用成效（预算执行率）原稿'!J109,2)</f>
        <v>1900</v>
      </c>
      <c r="K80" s="177">
        <f>ROUND('[3]表6资金使用成效（预算执行率）原稿'!K109,2)</f>
        <v>3200</v>
      </c>
      <c r="L80" s="172">
        <f t="shared" si="1"/>
        <v>0.934215523203999</v>
      </c>
    </row>
    <row r="81" ht="14.25" spans="1:12">
      <c r="A81" s="176" t="s">
        <v>323</v>
      </c>
      <c r="B81" s="176" t="s">
        <v>158</v>
      </c>
      <c r="C81" s="177">
        <f>ROUND('[3]表6资金使用成效（预算执行率）原稿'!C110,2)</f>
        <v>294.67</v>
      </c>
      <c r="D81" s="177">
        <f>ROUND('[3]表6资金使用成效（预算执行率）原稿'!D110,2)</f>
        <v>0</v>
      </c>
      <c r="E81" s="177">
        <f>ROUND('[3]表6资金使用成效（预算执行率）原稿'!E110,2)</f>
        <v>0</v>
      </c>
      <c r="F81" s="177">
        <f>ROUND('[3]表6资金使用成效（预算执行率）原稿'!F110,2)</f>
        <v>294.67</v>
      </c>
      <c r="G81" s="177">
        <f>ROUND('[3]表6资金使用成效（预算执行率）原稿'!G110,2)</f>
        <v>16743.9</v>
      </c>
      <c r="H81" s="177">
        <f>ROUND('[3]表6资金使用成效（预算执行率）原稿'!H110,2)</f>
        <v>9618</v>
      </c>
      <c r="I81" s="177">
        <f>ROUND('[3]表6资金使用成效（预算执行率）原稿'!I110,2)</f>
        <v>5088</v>
      </c>
      <c r="J81" s="177">
        <f>ROUND('[3]表6资金使用成效（预算执行率）原稿'!J110,2)</f>
        <v>993.83</v>
      </c>
      <c r="K81" s="177">
        <f>ROUND('[3]表6资金使用成效（预算执行率）原稿'!K110,2)</f>
        <v>1044.07</v>
      </c>
      <c r="L81" s="172">
        <f t="shared" si="1"/>
        <v>0.98240135213421</v>
      </c>
    </row>
    <row r="82" ht="14.25" spans="1:12">
      <c r="A82" s="176" t="s">
        <v>324</v>
      </c>
      <c r="B82" s="176" t="s">
        <v>224</v>
      </c>
      <c r="C82" s="177">
        <f>ROUND('[3]表6资金使用成效（预算执行率）原稿'!C111,2)</f>
        <v>0</v>
      </c>
      <c r="D82" s="177">
        <f>ROUND('[3]表6资金使用成效（预算执行率）原稿'!D111,2)</f>
        <v>0</v>
      </c>
      <c r="E82" s="177">
        <f>ROUND('[3]表6资金使用成效（预算执行率）原稿'!E111,2)</f>
        <v>0</v>
      </c>
      <c r="F82" s="177">
        <f>ROUND('[3]表6资金使用成效（预算执行率）原稿'!F111,2)</f>
        <v>0</v>
      </c>
      <c r="G82" s="177">
        <f>ROUND('[3]表6资金使用成效（预算执行率）原稿'!G111,2)</f>
        <v>9267</v>
      </c>
      <c r="H82" s="177">
        <f>ROUND('[3]表6资金使用成效（预算执行率）原稿'!H111,2)</f>
        <v>5275</v>
      </c>
      <c r="I82" s="177">
        <f>ROUND('[3]表6资金使用成效（预算执行率）原稿'!I111,2)</f>
        <v>2582</v>
      </c>
      <c r="J82" s="177">
        <f>ROUND('[3]表6资金使用成效（预算执行率）原稿'!J111,2)</f>
        <v>420</v>
      </c>
      <c r="K82" s="177">
        <f>ROUND('[3]表6资金使用成效（预算执行率）原稿'!K111,2)</f>
        <v>990</v>
      </c>
      <c r="L82" s="172">
        <f t="shared" si="1"/>
        <v>1</v>
      </c>
    </row>
    <row r="83" ht="14.25" spans="1:12">
      <c r="A83" s="176" t="s">
        <v>325</v>
      </c>
      <c r="B83" s="176" t="s">
        <v>75</v>
      </c>
      <c r="C83" s="177">
        <f>ROUND('[3]表6资金使用成效（预算执行率）原稿'!C112,2)</f>
        <v>134.38</v>
      </c>
      <c r="D83" s="177">
        <f>ROUND('[3]表6资金使用成效（预算执行率）原稿'!D112,2)</f>
        <v>0</v>
      </c>
      <c r="E83" s="177">
        <f>ROUND('[3]表6资金使用成效（预算执行率）原稿'!E112,2)</f>
        <v>0</v>
      </c>
      <c r="F83" s="177">
        <f>ROUND('[3]表6资金使用成效（预算执行率）原稿'!F112,2)</f>
        <v>134.38</v>
      </c>
      <c r="G83" s="177">
        <f>ROUND('[3]表6资金使用成效（预算执行率）原稿'!G112,2)</f>
        <v>3847.67</v>
      </c>
      <c r="H83" s="177">
        <f>ROUND('[3]表6资金使用成效（预算执行率）原稿'!H112,2)</f>
        <v>1391</v>
      </c>
      <c r="I83" s="177">
        <f>ROUND('[3]表6资金使用成效（预算执行率）原稿'!I112,2)</f>
        <v>346</v>
      </c>
      <c r="J83" s="177">
        <f>ROUND('[3]表6资金使用成效（预算执行率）原稿'!J112,2)</f>
        <v>2089</v>
      </c>
      <c r="K83" s="177">
        <f>ROUND('[3]表6资金使用成效（预算执行率）原稿'!K112,2)</f>
        <v>21.67</v>
      </c>
      <c r="L83" s="172">
        <f t="shared" si="1"/>
        <v>0.965074967447832</v>
      </c>
    </row>
    <row r="84" ht="14.25" spans="1:12">
      <c r="A84" s="176" t="s">
        <v>326</v>
      </c>
      <c r="B84" s="176" t="s">
        <v>225</v>
      </c>
      <c r="C84" s="177">
        <f>ROUND('[3]表6资金使用成效（预算执行率）原稿'!C113,2)</f>
        <v>0</v>
      </c>
      <c r="D84" s="177">
        <f>ROUND('[3]表6资金使用成效（预算执行率）原稿'!D113,2)</f>
        <v>0</v>
      </c>
      <c r="E84" s="177">
        <f>ROUND('[3]表6资金使用成效（预算执行率）原稿'!E113,2)</f>
        <v>0</v>
      </c>
      <c r="F84" s="177">
        <f>ROUND('[3]表6资金使用成效（预算执行率）原稿'!F113,2)</f>
        <v>0</v>
      </c>
      <c r="G84" s="177">
        <f>ROUND('[3]表6资金使用成效（预算执行率）原稿'!G113,2)</f>
        <v>23400.11</v>
      </c>
      <c r="H84" s="177">
        <f>ROUND('[3]表6资金使用成效（预算执行率）原稿'!H113,2)</f>
        <v>12387</v>
      </c>
      <c r="I84" s="177">
        <f>ROUND('[3]表6资金使用成效（预算执行率）原稿'!I113,2)</f>
        <v>2669</v>
      </c>
      <c r="J84" s="177">
        <f>ROUND('[3]表6资金使用成效（预算执行率）原稿'!J113,2)</f>
        <v>3259.08</v>
      </c>
      <c r="K84" s="177">
        <f>ROUND('[3]表6资金使用成效（预算执行率）原稿'!K113,2)</f>
        <v>5085.03</v>
      </c>
      <c r="L84" s="172">
        <f t="shared" si="1"/>
        <v>1</v>
      </c>
    </row>
    <row r="85" ht="14.25" spans="1:12">
      <c r="A85" s="176" t="s">
        <v>327</v>
      </c>
      <c r="B85" s="176" t="s">
        <v>226</v>
      </c>
      <c r="C85" s="177">
        <f>ROUND('[3]表6资金使用成效（预算执行率）原稿'!C114,2)</f>
        <v>0</v>
      </c>
      <c r="D85" s="177">
        <f>ROUND('[3]表6资金使用成效（预算执行率）原稿'!D114,2)</f>
        <v>0</v>
      </c>
      <c r="E85" s="177">
        <f>ROUND('[3]表6资金使用成效（预算执行率）原稿'!E114,2)</f>
        <v>0</v>
      </c>
      <c r="F85" s="177">
        <f>ROUND('[3]表6资金使用成效（预算执行率）原稿'!F114,2)</f>
        <v>0</v>
      </c>
      <c r="G85" s="177">
        <f>ROUND('[3]表6资金使用成效（预算执行率）原稿'!G114,2)</f>
        <v>8536.33</v>
      </c>
      <c r="H85" s="177">
        <f>ROUND('[3]表6资金使用成效（预算执行率）原稿'!H114,2)</f>
        <v>6866</v>
      </c>
      <c r="I85" s="177">
        <f>ROUND('[3]表6资金使用成效（预算执行率）原稿'!I114,2)</f>
        <v>1143</v>
      </c>
      <c r="J85" s="177">
        <f>ROUND('[3]表6资金使用成效（预算执行率）原稿'!J114,2)</f>
        <v>20</v>
      </c>
      <c r="K85" s="177">
        <f>ROUND('[3]表6资金使用成效（预算执行率）原稿'!K114,2)</f>
        <v>507.33</v>
      </c>
      <c r="L85" s="172">
        <f t="shared" si="1"/>
        <v>1</v>
      </c>
    </row>
    <row r="86" ht="14.25" spans="1:12">
      <c r="A86" s="176" t="s">
        <v>328</v>
      </c>
      <c r="B86" s="176" t="s">
        <v>227</v>
      </c>
      <c r="C86" s="177">
        <f>ROUND('[3]表6资金使用成效（预算执行率）原稿'!C115,2)</f>
        <v>0</v>
      </c>
      <c r="D86" s="177">
        <f>ROUND('[3]表6资金使用成效（预算执行率）原稿'!D115,2)</f>
        <v>0</v>
      </c>
      <c r="E86" s="177">
        <f>ROUND('[3]表6资金使用成效（预算执行率）原稿'!E115,2)</f>
        <v>0</v>
      </c>
      <c r="F86" s="177">
        <f>ROUND('[3]表6资金使用成效（预算执行率）原稿'!F115,2)</f>
        <v>0</v>
      </c>
      <c r="G86" s="177">
        <f>ROUND('[3]表6资金使用成效（预算执行率）原稿'!G115,2)</f>
        <v>13518</v>
      </c>
      <c r="H86" s="177">
        <f>ROUND('[3]表6资金使用成效（预算执行率）原稿'!H115,2)</f>
        <v>9514</v>
      </c>
      <c r="I86" s="177">
        <f>ROUND('[3]表6资金使用成效（预算执行率）原稿'!I115,2)</f>
        <v>1704</v>
      </c>
      <c r="J86" s="177">
        <f>ROUND('[3]表6资金使用成效（预算执行率）原稿'!J115,2)</f>
        <v>2300</v>
      </c>
      <c r="K86" s="177">
        <f>ROUND('[3]表6资金使用成效（预算执行率）原稿'!K115,2)</f>
        <v>0</v>
      </c>
      <c r="L86" s="172">
        <f t="shared" si="1"/>
        <v>1</v>
      </c>
    </row>
    <row r="87" ht="14.25" spans="1:12">
      <c r="A87" s="176" t="s">
        <v>329</v>
      </c>
      <c r="B87" s="176" t="s">
        <v>228</v>
      </c>
      <c r="C87" s="177">
        <f>ROUND('[3]表6资金使用成效（预算执行率）原稿'!C116,2)</f>
        <v>200</v>
      </c>
      <c r="D87" s="177">
        <f>ROUND('[3]表6资金使用成效（预算执行率）原稿'!D116,2)</f>
        <v>0</v>
      </c>
      <c r="E87" s="177">
        <f>ROUND('[3]表6资金使用成效（预算执行率）原稿'!E116,2)</f>
        <v>0</v>
      </c>
      <c r="F87" s="177">
        <f>ROUND('[3]表6资金使用成效（预算执行率）原稿'!F116,2)</f>
        <v>200</v>
      </c>
      <c r="G87" s="177">
        <f>ROUND('[3]表6资金使用成效（预算执行率）原稿'!G116,2)</f>
        <v>11666</v>
      </c>
      <c r="H87" s="177">
        <f>ROUND('[3]表6资金使用成效（预算执行率）原稿'!H116,2)</f>
        <v>6478</v>
      </c>
      <c r="I87" s="177">
        <f>ROUND('[3]表6资金使用成效（预算执行率）原稿'!I116,2)</f>
        <v>2918</v>
      </c>
      <c r="J87" s="177">
        <f>ROUND('[3]表6资金使用成效（预算执行率）原稿'!J116,2)</f>
        <v>2270</v>
      </c>
      <c r="K87" s="177">
        <f>ROUND('[3]表6资金使用成效（预算执行率）原稿'!K116,2)</f>
        <v>0</v>
      </c>
      <c r="L87" s="172">
        <f t="shared" si="1"/>
        <v>0.982856163209326</v>
      </c>
    </row>
    <row r="88" ht="14.25" spans="1:12">
      <c r="A88" s="176" t="s">
        <v>330</v>
      </c>
      <c r="B88" s="176" t="s">
        <v>229</v>
      </c>
      <c r="C88" s="177">
        <f>ROUND('[3]表6资金使用成效（预算执行率）原稿'!C117,2)</f>
        <v>223.29</v>
      </c>
      <c r="D88" s="177">
        <f>ROUND('[3]表6资金使用成效（预算执行率）原稿'!D117,2)</f>
        <v>0</v>
      </c>
      <c r="E88" s="177">
        <f>ROUND('[3]表6资金使用成效（预算执行率）原稿'!E117,2)</f>
        <v>0</v>
      </c>
      <c r="F88" s="177">
        <f>ROUND('[3]表6资金使用成效（预算执行率）原稿'!F117,2)</f>
        <v>223.29</v>
      </c>
      <c r="G88" s="177">
        <f>ROUND('[3]表6资金使用成效（预算执行率）原稿'!G117,2)</f>
        <v>7729</v>
      </c>
      <c r="H88" s="177">
        <f>ROUND('[3]表6资金使用成效（预算执行率）原稿'!H117,2)</f>
        <v>5097</v>
      </c>
      <c r="I88" s="177">
        <f>ROUND('[3]表6资金使用成效（预算执行率）原稿'!I117,2)</f>
        <v>2242</v>
      </c>
      <c r="J88" s="177">
        <f>ROUND('[3]表6资金使用成效（预算执行率）原稿'!J117,2)</f>
        <v>180</v>
      </c>
      <c r="K88" s="177">
        <f>ROUND('[3]表6资金使用成效（预算执行率）原稿'!K117,2)</f>
        <v>210</v>
      </c>
      <c r="L88" s="172">
        <f t="shared" si="1"/>
        <v>0.971110104800104</v>
      </c>
    </row>
    <row r="89" ht="14.25" spans="1:12">
      <c r="A89" s="176" t="s">
        <v>331</v>
      </c>
      <c r="B89" s="176" t="s">
        <v>230</v>
      </c>
      <c r="C89" s="177">
        <f>ROUND('[3]表6资金使用成效（预算执行率）原稿'!C118,2)</f>
        <v>651.46</v>
      </c>
      <c r="D89" s="177">
        <f>ROUND('[3]表6资金使用成效（预算执行率）原稿'!D118,2)</f>
        <v>0</v>
      </c>
      <c r="E89" s="177">
        <f>ROUND('[3]表6资金使用成效（预算执行率）原稿'!E118,2)</f>
        <v>0</v>
      </c>
      <c r="F89" s="177">
        <f>ROUND('[3]表6资金使用成效（预算执行率）原稿'!F118,2)</f>
        <v>651.46</v>
      </c>
      <c r="G89" s="177">
        <f>ROUND('[3]表6资金使用成效（预算执行率）原稿'!G118,2)</f>
        <v>8941</v>
      </c>
      <c r="H89" s="177">
        <f>ROUND('[3]表6资金使用成效（预算执行率）原稿'!H118,2)</f>
        <v>6519</v>
      </c>
      <c r="I89" s="177">
        <f>ROUND('[3]表6资金使用成效（预算执行率）原稿'!I118,2)</f>
        <v>2002</v>
      </c>
      <c r="J89" s="177">
        <f>ROUND('[3]表6资金使用成效（预算执行率）原稿'!J118,2)</f>
        <v>420</v>
      </c>
      <c r="K89" s="177">
        <f>ROUND('[3]表6资金使用成效（预算执行率）原稿'!K118,2)</f>
        <v>0</v>
      </c>
      <c r="L89" s="172">
        <f t="shared" si="1"/>
        <v>0.92713790403758</v>
      </c>
    </row>
    <row r="90" ht="14.25" spans="1:12">
      <c r="A90" s="176" t="s">
        <v>332</v>
      </c>
      <c r="B90" s="176" t="s">
        <v>231</v>
      </c>
      <c r="C90" s="177">
        <f>ROUND('[3]表6资金使用成效（预算执行率）原稿'!C119,2)</f>
        <v>774.72</v>
      </c>
      <c r="D90" s="177">
        <f>ROUND('[3]表6资金使用成效（预算执行率）原稿'!D119,2)</f>
        <v>0</v>
      </c>
      <c r="E90" s="177">
        <f>ROUND('[3]表6资金使用成效（预算执行率）原稿'!E119,2)</f>
        <v>0</v>
      </c>
      <c r="F90" s="177">
        <f>ROUND('[3]表6资金使用成效（预算执行率）原稿'!F119,2)</f>
        <v>774.72</v>
      </c>
      <c r="G90" s="177">
        <f>ROUND('[3]表6资金使用成效（预算执行率）原稿'!G119,2)</f>
        <v>12912</v>
      </c>
      <c r="H90" s="177">
        <f>ROUND('[3]表6资金使用成效（预算执行率）原稿'!H119,2)</f>
        <v>8973</v>
      </c>
      <c r="I90" s="177">
        <f>ROUND('[3]表6资金使用成效（预算执行率）原稿'!I119,2)</f>
        <v>3919</v>
      </c>
      <c r="J90" s="177">
        <f>ROUND('[3]表6资金使用成效（预算执行率）原稿'!J119,2)</f>
        <v>20</v>
      </c>
      <c r="K90" s="177">
        <f>ROUND('[3]表6资金使用成效（预算执行率）原稿'!K119,2)</f>
        <v>0</v>
      </c>
      <c r="L90" s="172">
        <f t="shared" si="1"/>
        <v>0.94</v>
      </c>
    </row>
    <row r="91" ht="14.25" spans="1:12">
      <c r="A91" s="176" t="s">
        <v>333</v>
      </c>
      <c r="B91" s="176" t="s">
        <v>166</v>
      </c>
      <c r="C91" s="177">
        <f>ROUND('[3]表6资金使用成效（预算执行率）原稿'!C120,2)</f>
        <v>147.5</v>
      </c>
      <c r="D91" s="177">
        <f>ROUND('[3]表6资金使用成效（预算执行率）原稿'!D120,2)</f>
        <v>0</v>
      </c>
      <c r="E91" s="177">
        <f>ROUND('[3]表6资金使用成效（预算执行率）原稿'!E120,2)</f>
        <v>0</v>
      </c>
      <c r="F91" s="177">
        <f>ROUND('[3]表6资金使用成效（预算执行率）原稿'!F120,2)</f>
        <v>147.5</v>
      </c>
      <c r="G91" s="177">
        <f>ROUND('[3]表6资金使用成效（预算执行率）原稿'!G120,2)</f>
        <v>7357.95</v>
      </c>
      <c r="H91" s="177">
        <f>ROUND('[3]表6资金使用成效（预算执行率）原稿'!H120,2)</f>
        <v>1851</v>
      </c>
      <c r="I91" s="177">
        <f>ROUND('[3]表6资金使用成效（预算执行率）原稿'!I120,2)</f>
        <v>2912</v>
      </c>
      <c r="J91" s="177">
        <f>ROUND('[3]表6资金使用成效（预算执行率）原稿'!J120,2)</f>
        <v>930.5</v>
      </c>
      <c r="K91" s="177">
        <f>ROUND('[3]表6资金使用成效（预算执行率）原稿'!K120,2)</f>
        <v>1664.45</v>
      </c>
      <c r="L91" s="172">
        <f t="shared" si="1"/>
        <v>0.979953655569826</v>
      </c>
    </row>
    <row r="92" ht="14.25" spans="1:12">
      <c r="A92" s="176" t="s">
        <v>334</v>
      </c>
      <c r="B92" s="176" t="s">
        <v>167</v>
      </c>
      <c r="C92" s="177">
        <f>ROUND('[3]表6资金使用成效（预算执行率）原稿'!C121,2)</f>
        <v>448</v>
      </c>
      <c r="D92" s="177">
        <f>ROUND('[3]表6资金使用成效（预算执行率）原稿'!D121,2)</f>
        <v>0</v>
      </c>
      <c r="E92" s="177">
        <f>ROUND('[3]表6资金使用成效（预算执行率）原稿'!E121,2)</f>
        <v>0</v>
      </c>
      <c r="F92" s="177">
        <f>ROUND('[3]表6资金使用成效（预算执行率）原稿'!F121,2)</f>
        <v>448</v>
      </c>
      <c r="G92" s="177">
        <f>ROUND('[3]表6资金使用成效（预算执行率）原稿'!G121,2)</f>
        <v>9170</v>
      </c>
      <c r="H92" s="177">
        <f>ROUND('[3]表6资金使用成效（预算执行率）原稿'!H121,2)</f>
        <v>6114</v>
      </c>
      <c r="I92" s="177">
        <f>ROUND('[3]表6资金使用成效（预算执行率）原稿'!I121,2)</f>
        <v>2365</v>
      </c>
      <c r="J92" s="177">
        <f>ROUND('[3]表6资金使用成效（预算执行率）原稿'!J121,2)</f>
        <v>691</v>
      </c>
      <c r="K92" s="177">
        <f>ROUND('[3]表6资金使用成效（预算执行率）原稿'!K121,2)</f>
        <v>0</v>
      </c>
      <c r="L92" s="172">
        <f t="shared" si="1"/>
        <v>0.951145038167939</v>
      </c>
    </row>
    <row r="93" ht="14.25" spans="1:12">
      <c r="A93" s="176" t="s">
        <v>335</v>
      </c>
      <c r="B93" s="176" t="s">
        <v>168</v>
      </c>
      <c r="C93" s="177">
        <f>ROUND('[3]表6资金使用成效（预算执行率）原稿'!C122,2)</f>
        <v>417.05</v>
      </c>
      <c r="D93" s="177">
        <f>ROUND('[3]表6资金使用成效（预算执行率）原稿'!D122,2)</f>
        <v>0</v>
      </c>
      <c r="E93" s="177">
        <f>ROUND('[3]表6资金使用成效（预算执行率）原稿'!E122,2)</f>
        <v>0</v>
      </c>
      <c r="F93" s="177">
        <f>ROUND('[3]表6资金使用成效（预算执行率）原稿'!F122,2)</f>
        <v>417.05</v>
      </c>
      <c r="G93" s="177">
        <f>ROUND('[3]表6资金使用成效（预算执行率）原稿'!G122,2)</f>
        <v>5927.05</v>
      </c>
      <c r="H93" s="177">
        <f>ROUND('[3]表6资金使用成效（预算执行率）原稿'!H122,2)</f>
        <v>4736</v>
      </c>
      <c r="I93" s="177">
        <f>ROUND('[3]表6资金使用成效（预算执行率）原稿'!I122,2)</f>
        <v>738</v>
      </c>
      <c r="J93" s="177">
        <f>ROUND('[3]表6资金使用成效（预算执行率）原稿'!J122,2)</f>
        <v>453.05</v>
      </c>
      <c r="K93" s="177">
        <f>ROUND('[3]表6资金使用成效（预算执行率）原稿'!K122,2)</f>
        <v>0</v>
      </c>
      <c r="L93" s="172">
        <f t="shared" si="1"/>
        <v>0.929636159640968</v>
      </c>
    </row>
    <row r="94" ht="14.25" spans="1:12">
      <c r="A94" s="176" t="s">
        <v>336</v>
      </c>
      <c r="B94" s="176" t="s">
        <v>77</v>
      </c>
      <c r="C94" s="177">
        <f>ROUND('[3]表6资金使用成效（预算执行率）原稿'!C123,2)</f>
        <v>128.51</v>
      </c>
      <c r="D94" s="177">
        <f>ROUND('[3]表6资金使用成效（预算执行率）原稿'!D123,2)</f>
        <v>0</v>
      </c>
      <c r="E94" s="177">
        <f>ROUND('[3]表6资金使用成效（预算执行率）原稿'!E123,2)</f>
        <v>0</v>
      </c>
      <c r="F94" s="177">
        <f>ROUND('[3]表6资金使用成效（预算执行率）原稿'!F123,2)</f>
        <v>128.51</v>
      </c>
      <c r="G94" s="177">
        <f>ROUND('[3]表6资金使用成效（预算执行率）原稿'!G123,2)</f>
        <v>4283.6</v>
      </c>
      <c r="H94" s="177">
        <f>ROUND('[3]表6资金使用成效（预算执行率）原稿'!H123,2)</f>
        <v>1308</v>
      </c>
      <c r="I94" s="177">
        <f>ROUND('[3]表6资金使用成效（预算执行率）原稿'!I123,2)</f>
        <v>622</v>
      </c>
      <c r="J94" s="177">
        <f>ROUND('[3]表6资金使用成效（预算执行率）原稿'!J123,2)</f>
        <v>1965</v>
      </c>
      <c r="K94" s="177">
        <f>ROUND('[3]表6资金使用成效（预算执行率）原稿'!K123,2)</f>
        <v>388.6</v>
      </c>
      <c r="L94" s="172">
        <f t="shared" si="1"/>
        <v>0.969999533102997</v>
      </c>
    </row>
    <row r="95" ht="14.25" spans="1:12">
      <c r="A95" s="176" t="s">
        <v>337</v>
      </c>
      <c r="B95" s="176" t="s">
        <v>169</v>
      </c>
      <c r="C95" s="177">
        <f>ROUND('[3]表6资金使用成效（预算执行率）原稿'!C124,2)</f>
        <v>0</v>
      </c>
      <c r="D95" s="177">
        <f>ROUND('[3]表6资金使用成效（预算执行率）原稿'!D124,2)</f>
        <v>0</v>
      </c>
      <c r="E95" s="177">
        <f>ROUND('[3]表6资金使用成效（预算执行率）原稿'!E124,2)</f>
        <v>0</v>
      </c>
      <c r="F95" s="177">
        <f>ROUND('[3]表6资金使用成效（预算执行率）原稿'!F124,2)</f>
        <v>0</v>
      </c>
      <c r="G95" s="177">
        <f>ROUND('[3]表6资金使用成效（预算执行率）原稿'!G124,2)</f>
        <v>7388.9</v>
      </c>
      <c r="H95" s="177">
        <f>ROUND('[3]表6资金使用成效（预算执行率）原稿'!H124,2)</f>
        <v>5261</v>
      </c>
      <c r="I95" s="177">
        <f>ROUND('[3]表6资金使用成效（预算执行率）原稿'!I124,2)</f>
        <v>1392</v>
      </c>
      <c r="J95" s="177">
        <f>ROUND('[3]表6资金使用成效（预算执行率）原稿'!J124,2)</f>
        <v>735.9</v>
      </c>
      <c r="K95" s="177">
        <f>ROUND('[3]表6资金使用成效（预算执行率）原稿'!K124,2)</f>
        <v>0</v>
      </c>
      <c r="L95" s="172">
        <f t="shared" si="1"/>
        <v>1</v>
      </c>
    </row>
    <row r="96" ht="14.25" spans="1:12">
      <c r="A96" s="176" t="s">
        <v>338</v>
      </c>
      <c r="B96" s="176" t="s">
        <v>170</v>
      </c>
      <c r="C96" s="177">
        <f>ROUND('[3]表6资金使用成效（预算执行率）原稿'!C125,2)</f>
        <v>566</v>
      </c>
      <c r="D96" s="177">
        <f>ROUND('[3]表6资金使用成效（预算执行率）原稿'!D125,2)</f>
        <v>0</v>
      </c>
      <c r="E96" s="177">
        <f>ROUND('[3]表6资金使用成效（预算执行率）原稿'!E125,2)</f>
        <v>0</v>
      </c>
      <c r="F96" s="177">
        <f>ROUND('[3]表6资金使用成效（预算执行率）原稿'!F125,2)</f>
        <v>566</v>
      </c>
      <c r="G96" s="177">
        <f>ROUND('[3]表6资金使用成效（预算执行率）原稿'!G125,2)</f>
        <v>8590.63</v>
      </c>
      <c r="H96" s="177">
        <f>ROUND('[3]表6资金使用成效（预算执行率）原稿'!H125,2)</f>
        <v>5037.78</v>
      </c>
      <c r="I96" s="177">
        <f>ROUND('[3]表6资金使用成效（预算执行率）原稿'!I125,2)</f>
        <v>1500</v>
      </c>
      <c r="J96" s="177">
        <f>ROUND('[3]表6资金使用成效（预算执行率）原稿'!J125,2)</f>
        <v>468</v>
      </c>
      <c r="K96" s="177">
        <f>ROUND('[3]表6资金使用成效（预算执行率）原稿'!K125,2)</f>
        <v>1584.85</v>
      </c>
      <c r="L96" s="172">
        <f t="shared" si="1"/>
        <v>0.934114261701412</v>
      </c>
    </row>
    <row r="97" ht="14.25" spans="1:12">
      <c r="A97" s="176" t="s">
        <v>339</v>
      </c>
      <c r="B97" s="176" t="s">
        <v>171</v>
      </c>
      <c r="C97" s="177">
        <f>ROUND('[3]表6资金使用成效（预算执行率）原稿'!C126,2)</f>
        <v>444</v>
      </c>
      <c r="D97" s="177">
        <f>ROUND('[3]表6资金使用成效（预算执行率）原稿'!D126,2)</f>
        <v>0</v>
      </c>
      <c r="E97" s="177">
        <f>ROUND('[3]表6资金使用成效（预算执行率）原稿'!E126,2)</f>
        <v>0</v>
      </c>
      <c r="F97" s="177">
        <f>ROUND('[3]表6资金使用成效（预算执行率）原稿'!F126,2)</f>
        <v>444</v>
      </c>
      <c r="G97" s="177">
        <f>ROUND('[3]表6资金使用成效（预算执行率）原稿'!G126,2)</f>
        <v>9116</v>
      </c>
      <c r="H97" s="177">
        <f>ROUND('[3]表6资金使用成效（预算执行率）原稿'!H126,2)</f>
        <v>6655</v>
      </c>
      <c r="I97" s="177">
        <f>ROUND('[3]表6资金使用成效（预算执行率）原稿'!I126,2)</f>
        <v>1660</v>
      </c>
      <c r="J97" s="177">
        <f>ROUND('[3]表6资金使用成效（预算执行率）原稿'!J126,2)</f>
        <v>801</v>
      </c>
      <c r="K97" s="177">
        <f>ROUND('[3]表6资金使用成效（预算执行率）原稿'!K126,2)</f>
        <v>0</v>
      </c>
      <c r="L97" s="172">
        <f t="shared" si="1"/>
        <v>0.95129442738043</v>
      </c>
    </row>
    <row r="98" ht="14.25" spans="1:12">
      <c r="A98" s="176" t="s">
        <v>340</v>
      </c>
      <c r="B98" s="176" t="s">
        <v>172</v>
      </c>
      <c r="C98" s="177">
        <f>ROUND('[3]表6资金使用成效（预算执行率）原稿'!C127,2)</f>
        <v>358.1</v>
      </c>
      <c r="D98" s="177">
        <f>ROUND('[3]表6资金使用成效（预算执行率）原稿'!D127,2)</f>
        <v>0</v>
      </c>
      <c r="E98" s="177">
        <f>ROUND('[3]表6资金使用成效（预算执行率）原稿'!E127,2)</f>
        <v>0</v>
      </c>
      <c r="F98" s="177">
        <f>ROUND('[3]表6资金使用成效（预算执行率）原稿'!F127,2)</f>
        <v>358.1</v>
      </c>
      <c r="G98" s="177">
        <f>ROUND('[3]表6资金使用成效（预算执行率）原稿'!G127,2)</f>
        <v>11271</v>
      </c>
      <c r="H98" s="177">
        <f>ROUND('[3]表6资金使用成效（预算执行率）原稿'!H127,2)</f>
        <v>6005</v>
      </c>
      <c r="I98" s="177">
        <f>ROUND('[3]表6资金使用成效（预算执行率）原稿'!I127,2)</f>
        <v>3344</v>
      </c>
      <c r="J98" s="177">
        <f>ROUND('[3]表6资金使用成效（预算执行率）原稿'!J127,2)</f>
        <v>422</v>
      </c>
      <c r="K98" s="177">
        <f>ROUND('[3]表6资金使用成效（预算执行率）原稿'!K127,2)</f>
        <v>1500</v>
      </c>
      <c r="L98" s="172">
        <f t="shared" si="1"/>
        <v>0.968228196255878</v>
      </c>
    </row>
    <row r="99" ht="14.25" spans="1:12">
      <c r="A99" s="176" t="s">
        <v>341</v>
      </c>
      <c r="B99" s="176" t="s">
        <v>173</v>
      </c>
      <c r="C99" s="177">
        <f>ROUND('[3]表6资金使用成效（预算执行率）原稿'!C128,2)</f>
        <v>259.59</v>
      </c>
      <c r="D99" s="177">
        <f>ROUND('[3]表6资金使用成效（预算执行率）原稿'!D128,2)</f>
        <v>0</v>
      </c>
      <c r="E99" s="177">
        <f>ROUND('[3]表6资金使用成效（预算执行率）原稿'!E128,2)</f>
        <v>0</v>
      </c>
      <c r="F99" s="177">
        <f>ROUND('[3]表6资金使用成效（预算执行率）原稿'!F128,2)</f>
        <v>259.59</v>
      </c>
      <c r="G99" s="177">
        <f>ROUND('[3]表6资金使用成效（预算执行率）原稿'!G128,2)</f>
        <v>7779.04</v>
      </c>
      <c r="H99" s="177">
        <f>ROUND('[3]表6资金使用成效（预算执行率）原稿'!H128,2)</f>
        <v>4417.96</v>
      </c>
      <c r="I99" s="177">
        <f>ROUND('[3]表6资金使用成效（预算执行率）原稿'!I128,2)</f>
        <v>2446</v>
      </c>
      <c r="J99" s="177">
        <f>ROUND('[3]表6资金使用成效（预算执行率）原稿'!J128,2)</f>
        <v>745.4</v>
      </c>
      <c r="K99" s="177">
        <f>ROUND('[3]表6资金使用成效（预算执行率）原稿'!K128,2)</f>
        <v>169.68</v>
      </c>
      <c r="L99" s="172">
        <f t="shared" si="1"/>
        <v>0.966629558403094</v>
      </c>
    </row>
    <row r="100" ht="14.25" spans="1:12">
      <c r="A100" s="176" t="s">
        <v>342</v>
      </c>
      <c r="B100" s="176" t="s">
        <v>174</v>
      </c>
      <c r="C100" s="177">
        <f>ROUND('[3]表6资金使用成效（预算执行率）原稿'!C129,2)</f>
        <v>2111.06</v>
      </c>
      <c r="D100" s="177">
        <f>ROUND('[3]表6资金使用成效（预算执行率）原稿'!D129,2)</f>
        <v>0</v>
      </c>
      <c r="E100" s="177">
        <f>ROUND('[3]表6资金使用成效（预算执行率）原稿'!E129,2)</f>
        <v>0</v>
      </c>
      <c r="F100" s="177">
        <f>ROUND('[3]表6资金使用成效（预算执行率）原稿'!F129,2)</f>
        <v>2111.06</v>
      </c>
      <c r="G100" s="177">
        <f>ROUND('[3]表6资金使用成效（预算执行率）原稿'!G129,2)</f>
        <v>26624.35</v>
      </c>
      <c r="H100" s="177">
        <f>ROUND('[3]表6资金使用成效（预算执行率）原稿'!H129,2)</f>
        <v>19255.33</v>
      </c>
      <c r="I100" s="177">
        <f>ROUND('[3]表6资金使用成效（预算执行率）原稿'!I129,2)</f>
        <v>5812</v>
      </c>
      <c r="J100" s="177">
        <f>ROUND('[3]表6资金使用成效（预算执行率）原稿'!J129,2)</f>
        <v>1454</v>
      </c>
      <c r="K100" s="177">
        <f>ROUND('[3]表6资金使用成效（预算执行率）原稿'!K129,2)</f>
        <v>103.02</v>
      </c>
      <c r="L100" s="172">
        <f t="shared" si="1"/>
        <v>0.920709425770019</v>
      </c>
    </row>
    <row r="101" ht="14.25" spans="1:12">
      <c r="A101" s="176" t="s">
        <v>343</v>
      </c>
      <c r="B101" s="176" t="s">
        <v>175</v>
      </c>
      <c r="C101" s="177">
        <f>ROUND('[3]表6资金使用成效（预算执行率）原稿'!C130,2)</f>
        <v>327.01</v>
      </c>
      <c r="D101" s="177">
        <f>ROUND('[3]表6资金使用成效（预算执行率）原稿'!D130,2)</f>
        <v>0</v>
      </c>
      <c r="E101" s="177">
        <f>ROUND('[3]表6资金使用成效（预算执行率）原稿'!E130,2)</f>
        <v>0</v>
      </c>
      <c r="F101" s="177">
        <f>ROUND('[3]表6资金使用成效（预算执行率）原稿'!F130,2)</f>
        <v>327.01</v>
      </c>
      <c r="G101" s="177">
        <f>ROUND('[3]表6资金使用成效（预算执行率）原稿'!G130,2)</f>
        <v>6894.73</v>
      </c>
      <c r="H101" s="177">
        <f>ROUND('[3]表6资金使用成效（预算执行率）原稿'!H130,2)</f>
        <v>3730.93</v>
      </c>
      <c r="I101" s="177">
        <f>ROUND('[3]表6资金使用成效（预算执行率）原稿'!I130,2)</f>
        <v>1686</v>
      </c>
      <c r="J101" s="177">
        <f>ROUND('[3]表6资金使用成效（预算执行率）原稿'!J130,2)</f>
        <v>1177.8</v>
      </c>
      <c r="K101" s="177">
        <f>ROUND('[3]表6资金使用成效（预算执行率）原稿'!K130,2)</f>
        <v>300</v>
      </c>
      <c r="L101" s="172">
        <f t="shared" si="1"/>
        <v>0.952571021635365</v>
      </c>
    </row>
    <row r="102" ht="14.25" spans="1:12">
      <c r="A102" s="176" t="s">
        <v>344</v>
      </c>
      <c r="B102" s="176" t="s">
        <v>123</v>
      </c>
      <c r="C102" s="177">
        <f>ROUND('[3]表6资金使用成效（预算执行率）原稿'!C131,2)</f>
        <v>82.18</v>
      </c>
      <c r="D102" s="177">
        <f>ROUND('[3]表6资金使用成效（预算执行率）原稿'!D131,2)</f>
        <v>0</v>
      </c>
      <c r="E102" s="177">
        <f>ROUND('[3]表6资金使用成效（预算执行率）原稿'!E131,2)</f>
        <v>0</v>
      </c>
      <c r="F102" s="177">
        <f>ROUND('[3]表6资金使用成效（预算执行率）原稿'!F131,2)</f>
        <v>82.18</v>
      </c>
      <c r="G102" s="177">
        <f>ROUND('[3]表6资金使用成效（预算执行率）原稿'!G131,2)</f>
        <v>6207.65</v>
      </c>
      <c r="H102" s="177">
        <f>ROUND('[3]表6资金使用成效（预算执行率）原稿'!H131,2)</f>
        <v>3603.62</v>
      </c>
      <c r="I102" s="177">
        <f>ROUND('[3]表6资金使用成效（预算执行率）原稿'!I131,2)</f>
        <v>1582</v>
      </c>
      <c r="J102" s="177">
        <f>ROUND('[3]表6资金使用成效（预算执行率）原稿'!J131,2)</f>
        <v>689.98</v>
      </c>
      <c r="K102" s="177">
        <f>ROUND('[3]表6资金使用成效（预算执行率）原稿'!K131,2)</f>
        <v>332.05</v>
      </c>
      <c r="L102" s="172">
        <f t="shared" si="1"/>
        <v>0.986761495896193</v>
      </c>
    </row>
    <row r="103" ht="14.25" spans="1:12">
      <c r="A103" s="176" t="s">
        <v>345</v>
      </c>
      <c r="B103" s="176" t="s">
        <v>124</v>
      </c>
      <c r="C103" s="177">
        <f>ROUND('[3]表6资金使用成效（预算执行率）原稿'!C132,2)</f>
        <v>0</v>
      </c>
      <c r="D103" s="177">
        <f>ROUND('[3]表6资金使用成效（预算执行率）原稿'!D132,2)</f>
        <v>0</v>
      </c>
      <c r="E103" s="177">
        <f>ROUND('[3]表6资金使用成效（预算执行率）原稿'!E132,2)</f>
        <v>0</v>
      </c>
      <c r="F103" s="177">
        <f>ROUND('[3]表6资金使用成效（预算执行率）原稿'!F132,2)</f>
        <v>0</v>
      </c>
      <c r="G103" s="177">
        <f>ROUND('[3]表6资金使用成效（预算执行率）原稿'!G132,2)</f>
        <v>10654.93</v>
      </c>
      <c r="H103" s="177">
        <f>ROUND('[3]表6资金使用成效（预算执行率）原稿'!H132,2)</f>
        <v>4211</v>
      </c>
      <c r="I103" s="177">
        <f>ROUND('[3]表6资金使用成效（预算执行率）原稿'!I132,2)</f>
        <v>3190</v>
      </c>
      <c r="J103" s="177">
        <f>ROUND('[3]表6资金使用成效（预算执行率）原稿'!J132,2)</f>
        <v>750</v>
      </c>
      <c r="K103" s="177">
        <f>ROUND('[3]表6资金使用成效（预算执行率）原稿'!K132,2)</f>
        <v>2503.93</v>
      </c>
      <c r="L103" s="172">
        <f t="shared" si="1"/>
        <v>1</v>
      </c>
    </row>
    <row r="104" ht="14.25" spans="1:12">
      <c r="A104" s="176" t="s">
        <v>346</v>
      </c>
      <c r="B104" s="176" t="s">
        <v>125</v>
      </c>
      <c r="C104" s="177">
        <f>ROUND('[3]表6资金使用成效（预算执行率）原稿'!C133,2)</f>
        <v>144.12</v>
      </c>
      <c r="D104" s="177">
        <f>ROUND('[3]表6资金使用成效（预算执行率）原稿'!D133,2)</f>
        <v>0</v>
      </c>
      <c r="E104" s="177">
        <f>ROUND('[3]表6资金使用成效（预算执行率）原稿'!E133,2)</f>
        <v>0</v>
      </c>
      <c r="F104" s="177">
        <f>ROUND('[3]表6资金使用成效（预算执行率）原稿'!F133,2)</f>
        <v>144.12</v>
      </c>
      <c r="G104" s="177">
        <f>ROUND('[3]表6资金使用成效（预算执行率）原稿'!G133,2)</f>
        <v>15155.67</v>
      </c>
      <c r="H104" s="177">
        <f>ROUND('[3]表6资金使用成效（预算执行率）原稿'!H133,2)</f>
        <v>8117.08</v>
      </c>
      <c r="I104" s="177">
        <f>ROUND('[3]表6资金使用成效（预算执行率）原稿'!I133,2)</f>
        <v>4445</v>
      </c>
      <c r="J104" s="177">
        <f>ROUND('[3]表6资金使用成效（预算执行率）原稿'!J133,2)</f>
        <v>1850</v>
      </c>
      <c r="K104" s="177">
        <f>ROUND('[3]表6资金使用成效（预算执行率）原稿'!K133,2)</f>
        <v>743.59</v>
      </c>
      <c r="L104" s="172">
        <f t="shared" si="1"/>
        <v>0.990490687643634</v>
      </c>
    </row>
    <row r="105" ht="14.25" spans="1:12">
      <c r="A105" s="176" t="s">
        <v>347</v>
      </c>
      <c r="B105" s="176" t="s">
        <v>79</v>
      </c>
      <c r="C105" s="177">
        <f>ROUND('[3]表6资金使用成效（预算执行率）原稿'!C134,2)</f>
        <v>2850.16</v>
      </c>
      <c r="D105" s="177">
        <f>ROUND('[3]表6资金使用成效（预算执行率）原稿'!D134,2)</f>
        <v>0</v>
      </c>
      <c r="E105" s="177">
        <f>ROUND('[3]表6资金使用成效（预算执行率）原稿'!E134,2)</f>
        <v>0</v>
      </c>
      <c r="F105" s="177">
        <f>ROUND('[3]表6资金使用成效（预算执行率）原稿'!F134,2)</f>
        <v>2850.16</v>
      </c>
      <c r="G105" s="177">
        <f>ROUND('[3]表6资金使用成效（预算执行率）原稿'!G134,2)</f>
        <v>19894</v>
      </c>
      <c r="H105" s="177">
        <f>ROUND('[3]表6资金使用成效（预算执行率）原稿'!H134,2)</f>
        <v>14063</v>
      </c>
      <c r="I105" s="177">
        <f>ROUND('[3]表6资金使用成效（预算执行率）原稿'!I134,2)</f>
        <v>846</v>
      </c>
      <c r="J105" s="177">
        <f>ROUND('[3]表6资金使用成效（预算执行率）原稿'!J134,2)</f>
        <v>4985</v>
      </c>
      <c r="K105" s="177">
        <f>ROUND('[3]表6资金使用成效（预算执行率）原稿'!K134,2)</f>
        <v>0</v>
      </c>
      <c r="L105" s="172">
        <f t="shared" si="1"/>
        <v>0.856732683221072</v>
      </c>
    </row>
    <row r="106" ht="14.25" spans="1:12">
      <c r="A106" s="176" t="s">
        <v>348</v>
      </c>
      <c r="B106" s="176" t="s">
        <v>126</v>
      </c>
      <c r="C106" s="177">
        <f>ROUND('[3]表6资金使用成效（预算执行率）原稿'!C135,2)</f>
        <v>3312.54</v>
      </c>
      <c r="D106" s="177">
        <f>ROUND('[3]表6资金使用成效（预算执行率）原稿'!D135,2)</f>
        <v>0</v>
      </c>
      <c r="E106" s="177">
        <f>ROUND('[3]表6资金使用成效（预算执行率）原稿'!E135,2)</f>
        <v>0</v>
      </c>
      <c r="F106" s="177">
        <f>ROUND('[3]表6资金使用成效（预算执行率）原稿'!F135,2)</f>
        <v>3312.54</v>
      </c>
      <c r="G106" s="177">
        <f>ROUND('[3]表6资金使用成效（预算执行率）原稿'!G135,2)</f>
        <v>27150.79</v>
      </c>
      <c r="H106" s="177">
        <f>ROUND('[3]表6资金使用成效（预算执行率）原稿'!H135,2)</f>
        <v>18001.17</v>
      </c>
      <c r="I106" s="177">
        <f>ROUND('[3]表6资金使用成效（预算执行率）原稿'!I135,2)</f>
        <v>7207</v>
      </c>
      <c r="J106" s="177">
        <f>ROUND('[3]表6资金使用成效（预算执行率）原稿'!J135,2)</f>
        <v>1942.62</v>
      </c>
      <c r="K106" s="177">
        <f>ROUND('[3]表6资金使用成效（预算执行率）原稿'!K135,2)</f>
        <v>0</v>
      </c>
      <c r="L106" s="172">
        <f t="shared" si="1"/>
        <v>0.877994710282832</v>
      </c>
    </row>
    <row r="107" ht="14.25" spans="1:12">
      <c r="A107" s="176" t="s">
        <v>349</v>
      </c>
      <c r="B107" s="176" t="s">
        <v>127</v>
      </c>
      <c r="C107" s="177">
        <f>ROUND('[3]表6资金使用成效（预算执行率）原稿'!C136,2)</f>
        <v>337.85</v>
      </c>
      <c r="D107" s="177">
        <f>ROUND('[3]表6资金使用成效（预算执行率）原稿'!D136,2)</f>
        <v>0</v>
      </c>
      <c r="E107" s="177">
        <f>ROUND('[3]表6资金使用成效（预算执行率）原稿'!E136,2)</f>
        <v>0</v>
      </c>
      <c r="F107" s="177">
        <f>ROUND('[3]表6资金使用成效（预算执行率）原稿'!F136,2)</f>
        <v>337.85</v>
      </c>
      <c r="G107" s="177">
        <f>ROUND('[3]表6资金使用成效（预算执行率）原稿'!G136,2)</f>
        <v>11456.28</v>
      </c>
      <c r="H107" s="177">
        <f>ROUND('[3]表6资金使用成效（预算执行率）原稿'!H136,2)</f>
        <v>6083</v>
      </c>
      <c r="I107" s="177">
        <f>ROUND('[3]表6资金使用成效（预算执行率）原稿'!I136,2)</f>
        <v>2840</v>
      </c>
      <c r="J107" s="177">
        <f>ROUND('[3]表6资金使用成效（预算执行率）原稿'!J136,2)</f>
        <v>1820</v>
      </c>
      <c r="K107" s="177">
        <f>ROUND('[3]表6资金使用成效（预算执行率）原稿'!K136,2)</f>
        <v>713.28</v>
      </c>
      <c r="L107" s="172">
        <f t="shared" si="1"/>
        <v>0.970509624415604</v>
      </c>
    </row>
    <row r="108" ht="14.25" spans="1:12">
      <c r="A108" s="176" t="s">
        <v>350</v>
      </c>
      <c r="B108" s="176" t="s">
        <v>128</v>
      </c>
      <c r="C108" s="177">
        <f>ROUND('[3]表6资金使用成效（预算执行率）原稿'!C137,2)</f>
        <v>520.96</v>
      </c>
      <c r="D108" s="177">
        <f>ROUND('[3]表6资金使用成效（预算执行率）原稿'!D137,2)</f>
        <v>0</v>
      </c>
      <c r="E108" s="177">
        <f>ROUND('[3]表6资金使用成效（预算执行率）原稿'!E137,2)</f>
        <v>0</v>
      </c>
      <c r="F108" s="177">
        <f>ROUND('[3]表6资金使用成效（预算执行率）原稿'!F137,2)</f>
        <v>520.96</v>
      </c>
      <c r="G108" s="177">
        <f>ROUND('[3]表6资金使用成效（预算执行率）原稿'!G137,2)</f>
        <v>8233</v>
      </c>
      <c r="H108" s="177">
        <f>ROUND('[3]表6资金使用成效（预算执行率）原稿'!H137,2)</f>
        <v>5775</v>
      </c>
      <c r="I108" s="177">
        <f>ROUND('[3]表6资金使用成效（预算执行率）原稿'!I137,2)</f>
        <v>1458</v>
      </c>
      <c r="J108" s="177">
        <f>ROUND('[3]表6资金使用成效（预算执行率）原稿'!J137,2)</f>
        <v>1000</v>
      </c>
      <c r="K108" s="177">
        <f>ROUND('[3]表6资金使用成效（预算执行率）原稿'!K137,2)</f>
        <v>0</v>
      </c>
      <c r="L108" s="172">
        <f t="shared" si="1"/>
        <v>0.936722944248755</v>
      </c>
    </row>
    <row r="109" ht="14.25" spans="1:12">
      <c r="A109" s="176" t="s">
        <v>351</v>
      </c>
      <c r="B109" s="176" t="s">
        <v>129</v>
      </c>
      <c r="C109" s="177">
        <f>ROUND('[3]表6资金使用成效（预算执行率）原稿'!C138,2)</f>
        <v>90.16</v>
      </c>
      <c r="D109" s="177">
        <f>ROUND('[3]表6资金使用成效（预算执行率）原稿'!D138,2)</f>
        <v>0</v>
      </c>
      <c r="E109" s="177">
        <f>ROUND('[3]表6资金使用成效（预算执行率）原稿'!E138,2)</f>
        <v>0</v>
      </c>
      <c r="F109" s="177">
        <f>ROUND('[3]表6资金使用成效（预算执行率）原稿'!F138,2)</f>
        <v>90.16</v>
      </c>
      <c r="G109" s="177">
        <f>ROUND('[3]表6资金使用成效（预算执行率）原稿'!G138,2)</f>
        <v>11986.23</v>
      </c>
      <c r="H109" s="177">
        <f>ROUND('[3]表6资金使用成效（预算执行率）原稿'!H138,2)</f>
        <v>6763</v>
      </c>
      <c r="I109" s="177">
        <f>ROUND('[3]表6资金使用成效（预算执行率）原稿'!I138,2)</f>
        <v>2373</v>
      </c>
      <c r="J109" s="177">
        <f>ROUND('[3]表6资金使用成效（预算执行率）原稿'!J138,2)</f>
        <v>1722.62</v>
      </c>
      <c r="K109" s="177">
        <f>ROUND('[3]表6资金使用成效（预算执行率）原稿'!K138,2)</f>
        <v>1127.61</v>
      </c>
      <c r="L109" s="172">
        <f t="shared" si="1"/>
        <v>0.992478035212073</v>
      </c>
    </row>
    <row r="110" ht="14.25" spans="1:12">
      <c r="A110" s="176" t="s">
        <v>352</v>
      </c>
      <c r="B110" s="176" t="s">
        <v>130</v>
      </c>
      <c r="C110" s="177">
        <f>ROUND('[3]表6资金使用成效（预算执行率）原稿'!C139,2)</f>
        <v>5120.91</v>
      </c>
      <c r="D110" s="177">
        <f>ROUND('[3]表6资金使用成效（预算执行率）原稿'!D139,2)</f>
        <v>0</v>
      </c>
      <c r="E110" s="177">
        <f>ROUND('[3]表6资金使用成效（预算执行率）原稿'!E139,2)</f>
        <v>0</v>
      </c>
      <c r="F110" s="177">
        <f>ROUND('[3]表6资金使用成效（预算执行率）原稿'!F139,2)</f>
        <v>5120.91</v>
      </c>
      <c r="G110" s="177">
        <f>ROUND('[3]表6资金使用成效（预算执行率）原稿'!G139,2)</f>
        <v>9107</v>
      </c>
      <c r="H110" s="177">
        <f>ROUND('[3]表6资金使用成效（预算执行率）原稿'!H139,2)</f>
        <v>6421</v>
      </c>
      <c r="I110" s="177">
        <f>ROUND('[3]表6资金使用成效（预算执行率）原稿'!I139,2)</f>
        <v>1476</v>
      </c>
      <c r="J110" s="177">
        <f>ROUND('[3]表6资金使用成效（预算执行率）原稿'!J139,2)</f>
        <v>1210</v>
      </c>
      <c r="K110" s="177">
        <f>ROUND('[3]表6资金使用成效（预算执行率）原稿'!K139,2)</f>
        <v>0</v>
      </c>
      <c r="L110" s="172">
        <f t="shared" si="1"/>
        <v>0.437695179532228</v>
      </c>
    </row>
    <row r="111" ht="14.25" spans="1:12">
      <c r="A111" s="176" t="s">
        <v>353</v>
      </c>
      <c r="B111" s="176" t="s">
        <v>131</v>
      </c>
      <c r="C111" s="177">
        <f>ROUND('[3]表6资金使用成效（预算执行率）原稿'!C140,2)</f>
        <v>3474.98</v>
      </c>
      <c r="D111" s="177">
        <f>ROUND('[3]表6资金使用成效（预算执行率）原稿'!D140,2)</f>
        <v>0</v>
      </c>
      <c r="E111" s="177">
        <f>ROUND('[3]表6资金使用成效（预算执行率）原稿'!E140,2)</f>
        <v>0</v>
      </c>
      <c r="F111" s="177">
        <f>ROUND('[3]表6资金使用成效（预算执行率）原稿'!F140,2)</f>
        <v>3474.98</v>
      </c>
      <c r="G111" s="177">
        <f>ROUND('[3]表6资金使用成效（预算执行率）原稿'!G140,2)</f>
        <v>36228.14</v>
      </c>
      <c r="H111" s="177">
        <f>ROUND('[3]表6资金使用成效（预算执行率）原稿'!H140,2)</f>
        <v>27628.58</v>
      </c>
      <c r="I111" s="177">
        <f>ROUND('[3]表6资金使用成效（预算执行率）原稿'!I140,2)</f>
        <v>5332</v>
      </c>
      <c r="J111" s="177">
        <f>ROUND('[3]表6资金使用成效（预算执行率）原稿'!J140,2)</f>
        <v>3150</v>
      </c>
      <c r="K111" s="177">
        <f>ROUND('[3]表6资金使用成效（预算执行率）原稿'!K140,2)</f>
        <v>117.56</v>
      </c>
      <c r="L111" s="172">
        <f t="shared" si="1"/>
        <v>0.904080640077023</v>
      </c>
    </row>
    <row r="112" ht="14.25" spans="1:12">
      <c r="A112" s="176" t="s">
        <v>354</v>
      </c>
      <c r="B112" s="176" t="s">
        <v>132</v>
      </c>
      <c r="C112" s="177">
        <f>ROUND('[3]表6资金使用成效（预算执行率）原稿'!C141,2)</f>
        <v>5242.69</v>
      </c>
      <c r="D112" s="177">
        <f>ROUND('[3]表6资金使用成效（预算执行率）原稿'!D141,2)</f>
        <v>0</v>
      </c>
      <c r="E112" s="177">
        <f>ROUND('[3]表6资金使用成效（预算执行率）原稿'!E141,2)</f>
        <v>0</v>
      </c>
      <c r="F112" s="177">
        <f>ROUND('[3]表6资金使用成效（预算执行率）原稿'!F141,2)</f>
        <v>5242.69</v>
      </c>
      <c r="G112" s="177">
        <f>ROUND('[3]表6资金使用成效（预算执行率）原稿'!G141,2)</f>
        <v>31573.59</v>
      </c>
      <c r="H112" s="177">
        <f>ROUND('[3]表6资金使用成效（预算执行率）原稿'!H141,2)</f>
        <v>23760.12</v>
      </c>
      <c r="I112" s="177">
        <f>ROUND('[3]表6资金使用成效（预算执行率）原稿'!I141,2)</f>
        <v>5006</v>
      </c>
      <c r="J112" s="177">
        <f>ROUND('[3]表6资金使用成效（预算执行率）原稿'!J141,2)</f>
        <v>2629.8</v>
      </c>
      <c r="K112" s="177">
        <f>ROUND('[3]表6资金使用成效（预算执行率）原稿'!K141,2)</f>
        <v>177.67</v>
      </c>
      <c r="L112" s="172">
        <f t="shared" si="1"/>
        <v>0.833953313512971</v>
      </c>
    </row>
    <row r="113" ht="14.25" spans="1:12">
      <c r="A113" s="176" t="s">
        <v>355</v>
      </c>
      <c r="B113" s="176" t="s">
        <v>133</v>
      </c>
      <c r="C113" s="177">
        <f>ROUND('[3]表6资金使用成效（预算执行率）原稿'!C142,2)</f>
        <v>2664.94</v>
      </c>
      <c r="D113" s="177">
        <f>ROUND('[3]表6资金使用成效（预算执行率）原稿'!D142,2)</f>
        <v>0</v>
      </c>
      <c r="E113" s="177">
        <f>ROUND('[3]表6资金使用成效（预算执行率）原稿'!E142,2)</f>
        <v>0</v>
      </c>
      <c r="F113" s="177">
        <f>ROUND('[3]表6资金使用成效（预算执行率）原稿'!F142,2)</f>
        <v>2664.94</v>
      </c>
      <c r="G113" s="177">
        <f>ROUND('[3]表6资金使用成效（预算执行率）原稿'!G142,2)</f>
        <v>30505.74</v>
      </c>
      <c r="H113" s="177">
        <f>ROUND('[3]表6资金使用成效（预算执行率）原稿'!H142,2)</f>
        <v>23593.74</v>
      </c>
      <c r="I113" s="177">
        <f>ROUND('[3]表6资金使用成效（预算执行率）原稿'!I142,2)</f>
        <v>4262</v>
      </c>
      <c r="J113" s="177">
        <f>ROUND('[3]表6资金使用成效（预算执行率）原稿'!J142,2)</f>
        <v>2650</v>
      </c>
      <c r="K113" s="177">
        <f>ROUND('[3]表6资金使用成效（预算执行率）原稿'!K142,2)</f>
        <v>0</v>
      </c>
      <c r="L113" s="172">
        <f t="shared" si="1"/>
        <v>0.912641358642669</v>
      </c>
    </row>
    <row r="114" ht="14.25" spans="1:12">
      <c r="A114" s="176" t="s">
        <v>356</v>
      </c>
      <c r="B114" s="176" t="s">
        <v>134</v>
      </c>
      <c r="C114" s="177">
        <f>ROUND('[3]表6资金使用成效（预算执行率）原稿'!C143,2)</f>
        <v>3915.98</v>
      </c>
      <c r="D114" s="177">
        <f>ROUND('[3]表6资金使用成效（预算执行率）原稿'!D143,2)</f>
        <v>0</v>
      </c>
      <c r="E114" s="177">
        <f>ROUND('[3]表6资金使用成效（预算执行率）原稿'!E143,2)</f>
        <v>0</v>
      </c>
      <c r="F114" s="177">
        <f>ROUND('[3]表6资金使用成效（预算执行率）原稿'!F143,2)</f>
        <v>3915.98</v>
      </c>
      <c r="G114" s="177">
        <f>ROUND('[3]表6资金使用成效（预算执行率）原稿'!G143,2)</f>
        <v>30251.25</v>
      </c>
      <c r="H114" s="177">
        <f>ROUND('[3]表6资金使用成效（预算执行率）原稿'!H143,2)</f>
        <v>21444.76</v>
      </c>
      <c r="I114" s="177">
        <f>ROUND('[3]表6资金使用成效（预算执行率）原稿'!I143,2)</f>
        <v>6116</v>
      </c>
      <c r="J114" s="177">
        <f>ROUND('[3]表6资金使用成效（预算执行率）原稿'!J143,2)</f>
        <v>2664.09</v>
      </c>
      <c r="K114" s="177">
        <f>ROUND('[3]表6资金使用成效（预算执行率）原稿'!K143,2)</f>
        <v>26.4</v>
      </c>
      <c r="L114" s="172">
        <f t="shared" si="1"/>
        <v>0.870551464815503</v>
      </c>
    </row>
    <row r="115" ht="14.25" spans="1:12">
      <c r="A115" s="176" t="s">
        <v>357</v>
      </c>
      <c r="B115" s="176" t="s">
        <v>135</v>
      </c>
      <c r="C115" s="177">
        <f>ROUND('[3]表6资金使用成效（预算执行率）原稿'!C144,2)</f>
        <v>135.67</v>
      </c>
      <c r="D115" s="177">
        <f>ROUND('[3]表6资金使用成效（预算执行率）原稿'!D144,2)</f>
        <v>0</v>
      </c>
      <c r="E115" s="177">
        <f>ROUND('[3]表6资金使用成效（预算执行率）原稿'!E144,2)</f>
        <v>0</v>
      </c>
      <c r="F115" s="177">
        <f>ROUND('[3]表6资金使用成效（预算执行率）原稿'!F144,2)</f>
        <v>135.67</v>
      </c>
      <c r="G115" s="177">
        <f>ROUND('[3]表6资金使用成效（预算执行率）原稿'!G144,2)</f>
        <v>9687.03</v>
      </c>
      <c r="H115" s="177">
        <f>ROUND('[3]表6资金使用成效（预算执行率）原稿'!H144,2)</f>
        <v>4073.93</v>
      </c>
      <c r="I115" s="177">
        <f>ROUND('[3]表6资金使用成效（预算执行率）原稿'!I144,2)</f>
        <v>4807</v>
      </c>
      <c r="J115" s="177">
        <f>ROUND('[3]表6资金使用成效（预算执行率）原稿'!J144,2)</f>
        <v>750</v>
      </c>
      <c r="K115" s="177">
        <f>ROUND('[3]表6资金使用成效（预算执行率）原稿'!K144,2)</f>
        <v>56.1</v>
      </c>
      <c r="L115" s="172">
        <f t="shared" si="1"/>
        <v>0.985994675354572</v>
      </c>
    </row>
    <row r="116" ht="14.25" spans="1:12">
      <c r="A116" s="176" t="s">
        <v>358</v>
      </c>
      <c r="B116" s="176" t="s">
        <v>80</v>
      </c>
      <c r="C116" s="177">
        <f>ROUND('[3]表6资金使用成效（预算执行率）原稿'!C145,2)</f>
        <v>1678.8</v>
      </c>
      <c r="D116" s="177">
        <f>ROUND('[3]表6资金使用成效（预算执行率）原稿'!D145,2)</f>
        <v>0</v>
      </c>
      <c r="E116" s="177">
        <f>ROUND('[3]表6资金使用成效（预算执行率）原稿'!E145,2)</f>
        <v>0</v>
      </c>
      <c r="F116" s="177">
        <f>ROUND('[3]表6资金使用成效（预算执行率）原稿'!F145,2)</f>
        <v>1678.8</v>
      </c>
      <c r="G116" s="177">
        <f>ROUND('[3]表6资金使用成效（预算执行率）原稿'!G145,2)</f>
        <v>27219</v>
      </c>
      <c r="H116" s="177">
        <f>ROUND('[3]表6资金使用成效（预算执行率）原稿'!H145,2)</f>
        <v>19058</v>
      </c>
      <c r="I116" s="177">
        <f>ROUND('[3]表6资金使用成效（预算执行率）原稿'!I145,2)</f>
        <v>2782</v>
      </c>
      <c r="J116" s="177">
        <f>ROUND('[3]表6资金使用成效（预算执行率）原稿'!J145,2)</f>
        <v>5379</v>
      </c>
      <c r="K116" s="177">
        <f>ROUND('[3]表6资金使用成效（预算执行率）原稿'!K145,2)</f>
        <v>0</v>
      </c>
      <c r="L116" s="172">
        <f t="shared" si="1"/>
        <v>0.938322495315772</v>
      </c>
    </row>
    <row r="117" ht="14.25" spans="1:12">
      <c r="A117" s="176" t="s">
        <v>359</v>
      </c>
      <c r="B117" s="176" t="s">
        <v>138</v>
      </c>
      <c r="C117" s="177">
        <f>ROUND('[3]表6资金使用成效（预算执行率）原稿'!C146,2)</f>
        <v>0</v>
      </c>
      <c r="D117" s="177">
        <f>ROUND('[3]表6资金使用成效（预算执行率）原稿'!D146,2)</f>
        <v>0</v>
      </c>
      <c r="E117" s="177">
        <f>ROUND('[3]表6资金使用成效（预算执行率）原稿'!E146,2)</f>
        <v>0</v>
      </c>
      <c r="F117" s="177">
        <f>ROUND('[3]表6资金使用成效（预算执行率）原稿'!F146,2)</f>
        <v>0</v>
      </c>
      <c r="G117" s="177">
        <f>ROUND('[3]表6资金使用成效（预算执行率）原稿'!G146,2)</f>
        <v>9206.63</v>
      </c>
      <c r="H117" s="177">
        <f>ROUND('[3]表6资金使用成效（预算执行率）原稿'!H146,2)</f>
        <v>7093.63</v>
      </c>
      <c r="I117" s="177">
        <f>ROUND('[3]表6资金使用成效（预算执行率）原稿'!I146,2)</f>
        <v>1563</v>
      </c>
      <c r="J117" s="177">
        <f>ROUND('[3]表6资金使用成效（预算执行率）原稿'!J146,2)</f>
        <v>550</v>
      </c>
      <c r="K117" s="177">
        <f>ROUND('[3]表6资金使用成效（预算执行率）原稿'!K146,2)</f>
        <v>0</v>
      </c>
      <c r="L117" s="172">
        <f t="shared" si="1"/>
        <v>1</v>
      </c>
    </row>
    <row r="118" ht="14.25" spans="1:12">
      <c r="A118" s="176" t="s">
        <v>360</v>
      </c>
      <c r="B118" s="176" t="s">
        <v>139</v>
      </c>
      <c r="C118" s="177">
        <f>ROUND('[3]表6资金使用成效（预算执行率）原稿'!C147,2)</f>
        <v>0</v>
      </c>
      <c r="D118" s="177">
        <f>ROUND('[3]表6资金使用成效（预算执行率）原稿'!D147,2)</f>
        <v>0</v>
      </c>
      <c r="E118" s="177">
        <f>ROUND('[3]表6资金使用成效（预算执行率）原稿'!E147,2)</f>
        <v>0</v>
      </c>
      <c r="F118" s="177">
        <f>ROUND('[3]表6资金使用成效（预算执行率）原稿'!F147,2)</f>
        <v>0</v>
      </c>
      <c r="G118" s="177">
        <f>ROUND('[3]表6资金使用成效（预算执行率）原稿'!G147,2)</f>
        <v>9126.72</v>
      </c>
      <c r="H118" s="177">
        <f>ROUND('[3]表6资金使用成效（预算执行率）原稿'!H147,2)</f>
        <v>7081.88</v>
      </c>
      <c r="I118" s="177">
        <f>ROUND('[3]表6资金使用成效（预算执行率）原稿'!I147,2)</f>
        <v>1139</v>
      </c>
      <c r="J118" s="177">
        <f>ROUND('[3]表6资金使用成效（预算执行率）原稿'!J147,2)</f>
        <v>550</v>
      </c>
      <c r="K118" s="177">
        <f>ROUND('[3]表6资金使用成效（预算执行率）原稿'!K147,2)</f>
        <v>355.84</v>
      </c>
      <c r="L118" s="172">
        <f t="shared" si="1"/>
        <v>1</v>
      </c>
    </row>
    <row r="119" ht="14.25" spans="1:12">
      <c r="A119" s="176" t="s">
        <v>361</v>
      </c>
      <c r="B119" s="176" t="s">
        <v>140</v>
      </c>
      <c r="C119" s="177">
        <f>ROUND('[3]表6资金使用成效（预算执行率）原稿'!C148,2)</f>
        <v>713.01</v>
      </c>
      <c r="D119" s="177">
        <f>ROUND('[3]表6资金使用成效（预算执行率）原稿'!D148,2)</f>
        <v>0</v>
      </c>
      <c r="E119" s="177">
        <f>ROUND('[3]表6资金使用成效（预算执行率）原稿'!E148,2)</f>
        <v>0</v>
      </c>
      <c r="F119" s="177">
        <f>ROUND('[3]表6资金使用成效（预算执行率）原稿'!F148,2)</f>
        <v>713.01</v>
      </c>
      <c r="G119" s="177">
        <f>ROUND('[3]表6资金使用成效（预算执行率）原稿'!G148,2)</f>
        <v>11507.04</v>
      </c>
      <c r="H119" s="177">
        <f>ROUND('[3]表6资金使用成效（预算执行率）原稿'!H148,2)</f>
        <v>9579.83</v>
      </c>
      <c r="I119" s="177">
        <f>ROUND('[3]表6资金使用成效（预算执行率）原稿'!I148,2)</f>
        <v>1273</v>
      </c>
      <c r="J119" s="177">
        <f>ROUND('[3]表6资金使用成效（预算执行率）原稿'!J148,2)</f>
        <v>500</v>
      </c>
      <c r="K119" s="177">
        <f>ROUND('[3]表6资金使用成效（预算执行率）原稿'!K148,2)</f>
        <v>154.21</v>
      </c>
      <c r="L119" s="172">
        <f t="shared" si="1"/>
        <v>0.938037062528678</v>
      </c>
    </row>
    <row r="120" ht="14.25" spans="1:12">
      <c r="A120" s="176" t="s">
        <v>362</v>
      </c>
      <c r="B120" s="176" t="s">
        <v>141</v>
      </c>
      <c r="C120" s="177">
        <f>ROUND('[3]表6资金使用成效（预算执行率）原稿'!C149,2)</f>
        <v>1250.5</v>
      </c>
      <c r="D120" s="177">
        <f>ROUND('[3]表6资金使用成效（预算执行率）原稿'!D149,2)</f>
        <v>0</v>
      </c>
      <c r="E120" s="177">
        <f>ROUND('[3]表6资金使用成效（预算执行率）原稿'!E149,2)</f>
        <v>0</v>
      </c>
      <c r="F120" s="177">
        <f>ROUND('[3]表6资金使用成效（预算执行率）原稿'!F149,2)</f>
        <v>1250.5</v>
      </c>
      <c r="G120" s="177">
        <f>ROUND('[3]表6资金使用成效（预算执行率）原稿'!G149,2)</f>
        <v>17237.39</v>
      </c>
      <c r="H120" s="177">
        <f>ROUND('[3]表6资金使用成效（预算执行率）原稿'!H149,2)</f>
        <v>13177.39</v>
      </c>
      <c r="I120" s="177">
        <f>ROUND('[3]表6资金使用成效（预算执行率）原稿'!I149,2)</f>
        <v>3460</v>
      </c>
      <c r="J120" s="177">
        <f>ROUND('[3]表6资金使用成效（预算执行率）原稿'!J149,2)</f>
        <v>600</v>
      </c>
      <c r="K120" s="177">
        <f>ROUND('[3]表6资金使用成效（预算执行率）原稿'!K149,2)</f>
        <v>0</v>
      </c>
      <c r="L120" s="172">
        <f t="shared" si="1"/>
        <v>0.927454214356118</v>
      </c>
    </row>
    <row r="121" ht="14.25" spans="1:12">
      <c r="A121" s="176" t="s">
        <v>363</v>
      </c>
      <c r="B121" s="176" t="s">
        <v>142</v>
      </c>
      <c r="C121" s="177">
        <f>ROUND('[3]表6资金使用成效（预算执行率）原稿'!C150,2)</f>
        <v>0</v>
      </c>
      <c r="D121" s="177">
        <f>ROUND('[3]表6资金使用成效（预算执行率）原稿'!D150,2)</f>
        <v>0</v>
      </c>
      <c r="E121" s="177">
        <f>ROUND('[3]表6资金使用成效（预算执行率）原稿'!E150,2)</f>
        <v>0</v>
      </c>
      <c r="F121" s="177">
        <f>ROUND('[3]表6资金使用成效（预算执行率）原稿'!F150,2)</f>
        <v>0</v>
      </c>
      <c r="G121" s="177">
        <f>ROUND('[3]表6资金使用成效（预算执行率）原稿'!G150,2)</f>
        <v>22771.89</v>
      </c>
      <c r="H121" s="177">
        <f>ROUND('[3]表6资金使用成效（预算执行率）原稿'!H150,2)</f>
        <v>16422.89</v>
      </c>
      <c r="I121" s="177">
        <f>ROUND('[3]表6资金使用成效（预算执行率）原稿'!I150,2)</f>
        <v>3702</v>
      </c>
      <c r="J121" s="177">
        <f>ROUND('[3]表6资金使用成效（预算执行率）原稿'!J150,2)</f>
        <v>650</v>
      </c>
      <c r="K121" s="177">
        <f>ROUND('[3]表6资金使用成效（预算执行率）原稿'!K150,2)</f>
        <v>1997</v>
      </c>
      <c r="L121" s="172">
        <f t="shared" si="1"/>
        <v>1</v>
      </c>
    </row>
    <row r="122" ht="14.25" spans="1:12">
      <c r="A122" s="176" t="s">
        <v>364</v>
      </c>
      <c r="B122" s="176" t="s">
        <v>143</v>
      </c>
      <c r="C122" s="177">
        <f>ROUND('[3]表6资金使用成效（预算执行率）原稿'!C151,2)</f>
        <v>858.39</v>
      </c>
      <c r="D122" s="177">
        <f>ROUND('[3]表6资金使用成效（预算执行率）原稿'!D151,2)</f>
        <v>0</v>
      </c>
      <c r="E122" s="177">
        <f>ROUND('[3]表6资金使用成效（预算执行率）原稿'!E151,2)</f>
        <v>0</v>
      </c>
      <c r="F122" s="177">
        <f>ROUND('[3]表6资金使用成效（预算执行率）原稿'!F151,2)</f>
        <v>858.39</v>
      </c>
      <c r="G122" s="177">
        <f>ROUND('[3]表6资金使用成效（预算执行率）原稿'!G151,2)</f>
        <v>16585.3</v>
      </c>
      <c r="H122" s="177">
        <f>ROUND('[3]表6资金使用成效（预算执行率）原稿'!H151,2)</f>
        <v>14471.3</v>
      </c>
      <c r="I122" s="177">
        <f>ROUND('[3]表6资金使用成效（预算执行率）原稿'!I151,2)</f>
        <v>1464</v>
      </c>
      <c r="J122" s="177">
        <f>ROUND('[3]表6资金使用成效（预算执行率）原稿'!J151,2)</f>
        <v>650</v>
      </c>
      <c r="K122" s="177">
        <f>ROUND('[3]表6资金使用成效（预算执行率）原稿'!K151,2)</f>
        <v>0</v>
      </c>
      <c r="L122" s="172">
        <f t="shared" si="1"/>
        <v>0.948243926850886</v>
      </c>
    </row>
    <row r="123" ht="14.25" spans="1:12">
      <c r="A123" s="176" t="s">
        <v>365</v>
      </c>
      <c r="B123" s="176" t="s">
        <v>144</v>
      </c>
      <c r="C123" s="177">
        <f>ROUND('[3]表6资金使用成效（预算执行率）原稿'!C152,2)</f>
        <v>3932.06</v>
      </c>
      <c r="D123" s="177">
        <f>ROUND('[3]表6资金使用成效（预算执行率）原稿'!D152,2)</f>
        <v>0</v>
      </c>
      <c r="E123" s="177">
        <f>ROUND('[3]表6资金使用成效（预算执行率）原稿'!E152,2)</f>
        <v>0</v>
      </c>
      <c r="F123" s="177">
        <f>ROUND('[3]表6资金使用成效（预算执行率）原稿'!F152,2)</f>
        <v>3932.06</v>
      </c>
      <c r="G123" s="177">
        <f>ROUND('[3]表6资金使用成效（预算执行率）原稿'!G152,2)</f>
        <v>57791.82</v>
      </c>
      <c r="H123" s="177">
        <f>ROUND('[3]表6资金使用成效（预算执行率）原稿'!H152,2)</f>
        <v>37998.82</v>
      </c>
      <c r="I123" s="177">
        <f>ROUND('[3]表6资金使用成效（预算执行率）原稿'!I152,2)</f>
        <v>13543</v>
      </c>
      <c r="J123" s="177">
        <f>ROUND('[3]表6资金使用成效（预算执行率）原稿'!J152,2)</f>
        <v>750</v>
      </c>
      <c r="K123" s="177">
        <f>ROUND('[3]表6资金使用成效（预算执行率）原稿'!K152,2)</f>
        <v>5500</v>
      </c>
      <c r="L123" s="172">
        <f t="shared" si="1"/>
        <v>0.931961651320204</v>
      </c>
    </row>
    <row r="124" ht="14.25" spans="1:12">
      <c r="A124" s="176" t="s">
        <v>366</v>
      </c>
      <c r="B124" s="176" t="s">
        <v>145</v>
      </c>
      <c r="C124" s="177">
        <f>ROUND('[3]表6资金使用成效（预算执行率）原稿'!C153,2)</f>
        <v>1329.92</v>
      </c>
      <c r="D124" s="177">
        <f>ROUND('[3]表6资金使用成效（预算执行率）原稿'!D153,2)</f>
        <v>0</v>
      </c>
      <c r="E124" s="177">
        <f>ROUND('[3]表6资金使用成效（预算执行率）原稿'!E153,2)</f>
        <v>0</v>
      </c>
      <c r="F124" s="177">
        <f>ROUND('[3]表6资金使用成效（预算执行率）原稿'!F153,2)</f>
        <v>1329.92</v>
      </c>
      <c r="G124" s="177">
        <f>ROUND('[3]表6资金使用成效（预算执行率）原稿'!G153,2)</f>
        <v>16692.42</v>
      </c>
      <c r="H124" s="177">
        <f>ROUND('[3]表6资金使用成效（预算执行率）原稿'!H153,2)</f>
        <v>11925.26</v>
      </c>
      <c r="I124" s="177">
        <f>ROUND('[3]表6资金使用成效（预算执行率）原稿'!I153,2)</f>
        <v>3216</v>
      </c>
      <c r="J124" s="177">
        <f>ROUND('[3]表6资金使用成效（预算执行率）原稿'!J153,2)</f>
        <v>550</v>
      </c>
      <c r="K124" s="177">
        <f>ROUND('[3]表6资金使用成效（预算执行率）原稿'!K153,2)</f>
        <v>1001.16</v>
      </c>
      <c r="L124" s="172">
        <f t="shared" si="1"/>
        <v>0.920327909314527</v>
      </c>
    </row>
    <row r="125" ht="14.25" spans="1:12">
      <c r="A125" s="176" t="s">
        <v>367</v>
      </c>
      <c r="B125" s="176" t="s">
        <v>161</v>
      </c>
      <c r="C125" s="177">
        <f>ROUND('[3]表6资金使用成效（预算执行率）原稿'!C154,2)</f>
        <v>225.65</v>
      </c>
      <c r="D125" s="177">
        <f>ROUND('[3]表6资金使用成效（预算执行率）原稿'!D154,2)</f>
        <v>0</v>
      </c>
      <c r="E125" s="177">
        <f>ROUND('[3]表6资金使用成效（预算执行率）原稿'!E154,2)</f>
        <v>0</v>
      </c>
      <c r="F125" s="177">
        <f>ROUND('[3]表6资金使用成效（预算执行率）原稿'!F154,2)</f>
        <v>225.65</v>
      </c>
      <c r="G125" s="177">
        <f>ROUND('[3]表6资金使用成效（预算执行率）原稿'!G154,2)</f>
        <v>8245.27</v>
      </c>
      <c r="H125" s="177">
        <f>ROUND('[3]表6资金使用成效（预算执行率）原稿'!H154,2)</f>
        <v>4771</v>
      </c>
      <c r="I125" s="177">
        <f>ROUND('[3]表6资金使用成效（预算执行率）原稿'!I154,2)</f>
        <v>1688</v>
      </c>
      <c r="J125" s="177">
        <f>ROUND('[3]表6资金使用成效（预算执行率）原稿'!J154,2)</f>
        <v>500</v>
      </c>
      <c r="K125" s="177">
        <f>ROUND('[3]表6资金使用成效（预算执行率）原稿'!K154,2)</f>
        <v>1286.27</v>
      </c>
      <c r="L125" s="172">
        <f t="shared" si="1"/>
        <v>0.972632794317227</v>
      </c>
    </row>
    <row r="126" ht="14.25" spans="1:12">
      <c r="A126" s="176" t="s">
        <v>368</v>
      </c>
      <c r="B126" s="176" t="s">
        <v>162</v>
      </c>
      <c r="C126" s="177">
        <f>ROUND('[3]表6资金使用成效（预算执行率）原稿'!C155,2)</f>
        <v>886.62</v>
      </c>
      <c r="D126" s="177">
        <f>ROUND('[3]表6资金使用成效（预算执行率）原稿'!D155,2)</f>
        <v>0</v>
      </c>
      <c r="E126" s="177">
        <f>ROUND('[3]表6资金使用成效（预算执行率）原稿'!E155,2)</f>
        <v>0</v>
      </c>
      <c r="F126" s="177">
        <f>ROUND('[3]表6资金使用成效（预算执行率）原稿'!F155,2)</f>
        <v>886.62</v>
      </c>
      <c r="G126" s="177">
        <f>ROUND('[3]表6资金使用成效（预算执行率）原稿'!G155,2)</f>
        <v>7924.27</v>
      </c>
      <c r="H126" s="177">
        <f>ROUND('[3]表6资金使用成效（预算执行率）原稿'!H155,2)</f>
        <v>5632</v>
      </c>
      <c r="I126" s="177">
        <f>ROUND('[3]表6资金使用成效（预算执行率）原稿'!I155,2)</f>
        <v>1654</v>
      </c>
      <c r="J126" s="177">
        <f>ROUND('[3]表6资金使用成效（预算执行率）原稿'!J155,2)</f>
        <v>638.27</v>
      </c>
      <c r="K126" s="177">
        <f>ROUND('[3]表6资金使用成效（预算执行率）原稿'!K155,2)</f>
        <v>0</v>
      </c>
      <c r="L126" s="172">
        <f t="shared" si="1"/>
        <v>0.888113353028102</v>
      </c>
    </row>
    <row r="127" spans="1:2">
      <c r="A127" s="179"/>
      <c r="B127" s="179"/>
    </row>
  </sheetData>
  <autoFilter ref="A2:L126">
    <extLst/>
  </autoFilter>
  <mergeCells count="1">
    <mergeCell ref="A1:K1"/>
  </mergeCells>
  <pageMargins left="0.668055555555556" right="0.354166666666667" top="0.826388888888889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workbookViewId="0">
      <selection activeCell="A1" sqref="A1:I1"/>
    </sheetView>
  </sheetViews>
  <sheetFormatPr defaultColWidth="9" defaultRowHeight="14.25"/>
  <cols>
    <col min="1" max="1" width="4.25" style="152" customWidth="1"/>
    <col min="2" max="2" width="6.25" style="152" customWidth="1"/>
    <col min="3" max="3" width="8.375" style="153" customWidth="1"/>
    <col min="4" max="4" width="7" style="153" customWidth="1"/>
    <col min="5" max="6" width="11.125" style="153" customWidth="1"/>
    <col min="7" max="7" width="11.125" style="154" customWidth="1"/>
    <col min="8" max="8" width="11.25" style="154" customWidth="1"/>
    <col min="9" max="9" width="21.5" style="154" customWidth="1"/>
    <col min="10" max="10" width="13.75" style="153"/>
    <col min="11" max="16384" width="9" style="153"/>
  </cols>
  <sheetData>
    <row r="1" ht="31" customHeight="1" spans="1:9">
      <c r="A1" s="155" t="s">
        <v>369</v>
      </c>
      <c r="B1" s="155"/>
      <c r="C1" s="155"/>
      <c r="D1" s="155"/>
      <c r="E1" s="155"/>
      <c r="F1" s="155"/>
      <c r="G1" s="156"/>
      <c r="H1" s="156"/>
      <c r="I1" s="156"/>
    </row>
    <row r="2" ht="21" customHeight="1" spans="9:9">
      <c r="I2" s="170" t="s">
        <v>2</v>
      </c>
    </row>
    <row r="3" ht="48" customHeight="1" spans="1:10">
      <c r="A3" s="157" t="s">
        <v>3</v>
      </c>
      <c r="B3" s="157" t="s">
        <v>370</v>
      </c>
      <c r="C3" s="157" t="s">
        <v>8</v>
      </c>
      <c r="D3" s="157" t="s">
        <v>46</v>
      </c>
      <c r="E3" s="157" t="s">
        <v>371</v>
      </c>
      <c r="F3" s="157" t="s">
        <v>372</v>
      </c>
      <c r="G3" s="158" t="s">
        <v>373</v>
      </c>
      <c r="H3" s="159" t="s">
        <v>374</v>
      </c>
      <c r="I3" s="159" t="s">
        <v>375</v>
      </c>
      <c r="J3" s="153">
        <f>I5+I7+I8+I15+I16+I17+I20+I21+I22+I27+I28+I29</f>
        <v>125155.323529412</v>
      </c>
    </row>
    <row r="4" ht="29" customHeight="1" spans="1:17">
      <c r="A4" s="160" t="s">
        <v>376</v>
      </c>
      <c r="B4" s="161"/>
      <c r="C4" s="162"/>
      <c r="D4" s="163">
        <f>SUM(D5:D29)</f>
        <v>374</v>
      </c>
      <c r="E4" s="164">
        <f>SUM(E5:E29)</f>
        <v>1122000</v>
      </c>
      <c r="F4" s="164">
        <v>636713</v>
      </c>
      <c r="G4" s="165">
        <f>SUM(G5:G29)</f>
        <v>396611</v>
      </c>
      <c r="H4" s="165">
        <f>SUM(H5:H29)</f>
        <v>339235</v>
      </c>
      <c r="I4" s="171">
        <f>I5+I7+I8+I15+I16+I17+I20+I21+I22+I27+I28+I29</f>
        <v>125155.323529412</v>
      </c>
      <c r="M4" s="153" t="s">
        <v>377</v>
      </c>
      <c r="N4" s="153" t="s">
        <v>91</v>
      </c>
      <c r="O4" s="153" t="s">
        <v>378</v>
      </c>
      <c r="Q4" s="153" t="s">
        <v>379</v>
      </c>
    </row>
    <row r="5" ht="22" customHeight="1" spans="1:17">
      <c r="A5" s="163">
        <v>1</v>
      </c>
      <c r="B5" s="163" t="s">
        <v>380</v>
      </c>
      <c r="C5" s="166" t="s">
        <v>133</v>
      </c>
      <c r="D5" s="163">
        <v>27</v>
      </c>
      <c r="E5" s="164">
        <f>3000*D5</f>
        <v>81000</v>
      </c>
      <c r="F5" s="165">
        <f>E5*$F$4/$E$4</f>
        <v>45965.9117647059</v>
      </c>
      <c r="G5" s="165">
        <v>25050</v>
      </c>
      <c r="H5" s="165">
        <v>19680</v>
      </c>
      <c r="I5" s="171">
        <f>F5-G5-H5</f>
        <v>1235.91176470588</v>
      </c>
      <c r="L5" s="153" t="s">
        <v>133</v>
      </c>
      <c r="M5" s="153">
        <v>21418</v>
      </c>
      <c r="N5" s="153">
        <v>3632</v>
      </c>
      <c r="O5" s="153">
        <f>M5+N5</f>
        <v>25050</v>
      </c>
      <c r="Q5" s="153">
        <v>19680</v>
      </c>
    </row>
    <row r="6" ht="22" customHeight="1" spans="1:17">
      <c r="A6" s="163">
        <v>2</v>
      </c>
      <c r="B6" s="163"/>
      <c r="C6" s="163" t="s">
        <v>134</v>
      </c>
      <c r="D6" s="163">
        <v>7</v>
      </c>
      <c r="E6" s="164">
        <f t="shared" ref="E5:E29" si="0">3000*D6</f>
        <v>21000</v>
      </c>
      <c r="F6" s="165">
        <f t="shared" ref="F6:F29" si="1">E6*$F$4/$E$4</f>
        <v>11917.0882352941</v>
      </c>
      <c r="G6" s="165">
        <v>25297</v>
      </c>
      <c r="H6" s="165">
        <v>18320</v>
      </c>
      <c r="I6" s="171">
        <f t="shared" ref="I6:I29" si="2">F6-G6-H6</f>
        <v>-31699.9117647059</v>
      </c>
      <c r="J6" s="153">
        <f t="shared" ref="J6:J13" si="3">-I6/E6</f>
        <v>1.50951960784314</v>
      </c>
      <c r="L6" s="153" t="s">
        <v>134</v>
      </c>
      <c r="M6" s="153">
        <v>19704</v>
      </c>
      <c r="N6" s="153">
        <v>5593</v>
      </c>
      <c r="O6" s="153">
        <f t="shared" ref="O6:O29" si="4">M6+N6</f>
        <v>25297</v>
      </c>
      <c r="Q6" s="153">
        <v>18320</v>
      </c>
    </row>
    <row r="7" ht="22" customHeight="1" spans="1:17">
      <c r="A7" s="163">
        <v>3</v>
      </c>
      <c r="B7" s="163"/>
      <c r="C7" s="166" t="s">
        <v>135</v>
      </c>
      <c r="D7" s="163">
        <v>15</v>
      </c>
      <c r="E7" s="164">
        <f t="shared" si="0"/>
        <v>45000</v>
      </c>
      <c r="F7" s="165">
        <f t="shared" si="1"/>
        <v>25536.6176470588</v>
      </c>
      <c r="G7" s="165">
        <v>7196</v>
      </c>
      <c r="H7" s="165">
        <v>7220</v>
      </c>
      <c r="I7" s="171">
        <f t="shared" si="2"/>
        <v>11120.6176470588</v>
      </c>
      <c r="L7" s="153" t="s">
        <v>135</v>
      </c>
      <c r="M7" s="153">
        <v>2871</v>
      </c>
      <c r="N7" s="153">
        <v>4325</v>
      </c>
      <c r="O7" s="153">
        <f t="shared" si="4"/>
        <v>7196</v>
      </c>
      <c r="Q7" s="153">
        <v>7220</v>
      </c>
    </row>
    <row r="8" ht="22" customHeight="1" spans="1:17">
      <c r="A8" s="163">
        <v>4</v>
      </c>
      <c r="B8" s="163" t="s">
        <v>381</v>
      </c>
      <c r="C8" s="166" t="s">
        <v>141</v>
      </c>
      <c r="D8" s="163">
        <v>23</v>
      </c>
      <c r="E8" s="164">
        <f t="shared" si="0"/>
        <v>69000</v>
      </c>
      <c r="F8" s="165">
        <f t="shared" si="1"/>
        <v>39156.1470588235</v>
      </c>
      <c r="G8" s="165">
        <v>14505</v>
      </c>
      <c r="H8" s="165">
        <v>18954</v>
      </c>
      <c r="I8" s="171">
        <f t="shared" si="2"/>
        <v>5697.14705882353</v>
      </c>
      <c r="L8" s="153" t="s">
        <v>141</v>
      </c>
      <c r="M8" s="153">
        <v>11644</v>
      </c>
      <c r="N8" s="153">
        <v>2861</v>
      </c>
      <c r="O8" s="153">
        <f t="shared" si="4"/>
        <v>14505</v>
      </c>
      <c r="Q8" s="153">
        <v>18954</v>
      </c>
    </row>
    <row r="9" ht="22" customHeight="1" spans="1:17">
      <c r="A9" s="163">
        <v>5</v>
      </c>
      <c r="B9" s="163"/>
      <c r="C9" s="163" t="s">
        <v>142</v>
      </c>
      <c r="D9" s="163">
        <v>12</v>
      </c>
      <c r="E9" s="164">
        <f t="shared" si="0"/>
        <v>36000</v>
      </c>
      <c r="F9" s="165">
        <f t="shared" si="1"/>
        <v>20429.2941176471</v>
      </c>
      <c r="G9" s="165">
        <v>17338</v>
      </c>
      <c r="H9" s="165">
        <v>14876</v>
      </c>
      <c r="I9" s="171">
        <f t="shared" si="2"/>
        <v>-11784.7058823529</v>
      </c>
      <c r="J9" s="153">
        <f t="shared" si="3"/>
        <v>0.327352941176471</v>
      </c>
      <c r="L9" s="153" t="s">
        <v>142</v>
      </c>
      <c r="M9" s="153">
        <v>14521</v>
      </c>
      <c r="N9" s="153">
        <v>2817</v>
      </c>
      <c r="O9" s="153">
        <f t="shared" si="4"/>
        <v>17338</v>
      </c>
      <c r="Q9" s="153">
        <v>14876</v>
      </c>
    </row>
    <row r="10" ht="22" customHeight="1" spans="1:17">
      <c r="A10" s="163">
        <v>6</v>
      </c>
      <c r="B10" s="163"/>
      <c r="C10" s="163" t="s">
        <v>145</v>
      </c>
      <c r="D10" s="163">
        <v>7</v>
      </c>
      <c r="E10" s="164">
        <f t="shared" si="0"/>
        <v>21000</v>
      </c>
      <c r="F10" s="165">
        <f t="shared" si="1"/>
        <v>11917.0882352941</v>
      </c>
      <c r="G10" s="165">
        <v>12541</v>
      </c>
      <c r="H10" s="165">
        <v>10679</v>
      </c>
      <c r="I10" s="171">
        <f t="shared" si="2"/>
        <v>-11302.9117647059</v>
      </c>
      <c r="J10" s="153">
        <f t="shared" si="3"/>
        <v>0.538233893557423</v>
      </c>
      <c r="L10" s="153" t="s">
        <v>145</v>
      </c>
      <c r="M10" s="153">
        <v>10645</v>
      </c>
      <c r="N10" s="153">
        <v>1896</v>
      </c>
      <c r="O10" s="153">
        <f t="shared" si="4"/>
        <v>12541</v>
      </c>
      <c r="Q10" s="153">
        <v>10679</v>
      </c>
    </row>
    <row r="11" ht="22" customHeight="1" spans="1:17">
      <c r="A11" s="163">
        <v>7</v>
      </c>
      <c r="B11" s="163" t="s">
        <v>382</v>
      </c>
      <c r="C11" s="163" t="s">
        <v>155</v>
      </c>
      <c r="D11" s="163">
        <v>11</v>
      </c>
      <c r="E11" s="164">
        <f t="shared" si="0"/>
        <v>33000</v>
      </c>
      <c r="F11" s="165">
        <f t="shared" si="1"/>
        <v>18726.8529411765</v>
      </c>
      <c r="G11" s="165">
        <v>13235</v>
      </c>
      <c r="H11" s="165">
        <v>11186</v>
      </c>
      <c r="I11" s="171">
        <f t="shared" si="2"/>
        <v>-5694.14705882353</v>
      </c>
      <c r="J11" s="153">
        <f t="shared" si="3"/>
        <v>0.17254991087344</v>
      </c>
      <c r="L11" s="153" t="s">
        <v>155</v>
      </c>
      <c r="M11" s="153">
        <v>8450</v>
      </c>
      <c r="N11" s="153">
        <v>4785</v>
      </c>
      <c r="O11" s="153">
        <f t="shared" si="4"/>
        <v>13235</v>
      </c>
      <c r="Q11" s="153">
        <v>11186</v>
      </c>
    </row>
    <row r="12" ht="22" customHeight="1" spans="1:17">
      <c r="A12" s="163">
        <v>8</v>
      </c>
      <c r="B12" s="163"/>
      <c r="C12" s="163" t="s">
        <v>156</v>
      </c>
      <c r="D12" s="163">
        <v>11</v>
      </c>
      <c r="E12" s="164">
        <f t="shared" si="0"/>
        <v>33000</v>
      </c>
      <c r="F12" s="165">
        <f t="shared" si="1"/>
        <v>18726.8529411765</v>
      </c>
      <c r="G12" s="165">
        <v>10932</v>
      </c>
      <c r="H12" s="165">
        <v>9200</v>
      </c>
      <c r="I12" s="171">
        <f t="shared" si="2"/>
        <v>-1405.14705882353</v>
      </c>
      <c r="J12" s="153">
        <f t="shared" si="3"/>
        <v>0.0425802139037433</v>
      </c>
      <c r="L12" s="153" t="s">
        <v>156</v>
      </c>
      <c r="M12" s="153">
        <v>7569</v>
      </c>
      <c r="N12" s="153">
        <v>3363</v>
      </c>
      <c r="O12" s="153">
        <f t="shared" si="4"/>
        <v>10932</v>
      </c>
      <c r="Q12" s="153">
        <v>9200</v>
      </c>
    </row>
    <row r="13" ht="22" customHeight="1" spans="1:17">
      <c r="A13" s="163">
        <v>9</v>
      </c>
      <c r="B13" s="163"/>
      <c r="C13" s="163" t="s">
        <v>157</v>
      </c>
      <c r="D13" s="163">
        <v>8</v>
      </c>
      <c r="E13" s="164">
        <f t="shared" si="0"/>
        <v>24000</v>
      </c>
      <c r="F13" s="165">
        <f t="shared" si="1"/>
        <v>13619.5294117647</v>
      </c>
      <c r="G13" s="165">
        <v>35240</v>
      </c>
      <c r="H13" s="165">
        <v>27468</v>
      </c>
      <c r="I13" s="171">
        <f t="shared" si="2"/>
        <v>-49088.4705882353</v>
      </c>
      <c r="J13" s="153">
        <f t="shared" si="3"/>
        <v>2.04535294117647</v>
      </c>
      <c r="L13" s="153" t="s">
        <v>157</v>
      </c>
      <c r="M13" s="153">
        <v>29361</v>
      </c>
      <c r="N13" s="153">
        <v>5879</v>
      </c>
      <c r="O13" s="153">
        <f t="shared" si="4"/>
        <v>35240</v>
      </c>
      <c r="Q13" s="153">
        <v>27468</v>
      </c>
    </row>
    <row r="14" ht="22" customHeight="1" spans="1:17">
      <c r="A14" s="163">
        <v>10</v>
      </c>
      <c r="B14" s="163"/>
      <c r="C14" s="166" t="s">
        <v>158</v>
      </c>
      <c r="D14" s="163">
        <v>14</v>
      </c>
      <c r="E14" s="164">
        <f t="shared" si="0"/>
        <v>42000</v>
      </c>
      <c r="F14" s="165">
        <f t="shared" si="1"/>
        <v>23834.1764705882</v>
      </c>
      <c r="G14" s="165">
        <v>12951</v>
      </c>
      <c r="H14" s="165">
        <v>11044</v>
      </c>
      <c r="I14" s="171">
        <f t="shared" si="2"/>
        <v>-160.823529411766</v>
      </c>
      <c r="L14" s="153" t="s">
        <v>158</v>
      </c>
      <c r="M14" s="153">
        <v>8318</v>
      </c>
      <c r="N14" s="153">
        <v>4633</v>
      </c>
      <c r="O14" s="153">
        <f t="shared" si="4"/>
        <v>12951</v>
      </c>
      <c r="Q14" s="153">
        <v>11044</v>
      </c>
    </row>
    <row r="15" ht="22" customHeight="1" spans="1:17">
      <c r="A15" s="163">
        <v>11</v>
      </c>
      <c r="B15" s="163" t="s">
        <v>383</v>
      </c>
      <c r="C15" s="166" t="s">
        <v>161</v>
      </c>
      <c r="D15" s="163">
        <v>9</v>
      </c>
      <c r="E15" s="164">
        <f t="shared" si="0"/>
        <v>27000</v>
      </c>
      <c r="F15" s="165">
        <f t="shared" si="1"/>
        <v>15321.9705882353</v>
      </c>
      <c r="G15" s="165">
        <v>4381</v>
      </c>
      <c r="H15" s="165">
        <v>4554</v>
      </c>
      <c r="I15" s="171">
        <f t="shared" si="2"/>
        <v>6386.97058823529</v>
      </c>
      <c r="L15" s="153" t="s">
        <v>161</v>
      </c>
      <c r="M15" s="153">
        <v>3400</v>
      </c>
      <c r="N15" s="153">
        <v>981</v>
      </c>
      <c r="O15" s="153">
        <f t="shared" si="4"/>
        <v>4381</v>
      </c>
      <c r="Q15" s="153">
        <v>4554</v>
      </c>
    </row>
    <row r="16" ht="22" customHeight="1" spans="1:17">
      <c r="A16" s="163">
        <v>12</v>
      </c>
      <c r="B16" s="163"/>
      <c r="C16" s="163" t="s">
        <v>162</v>
      </c>
      <c r="D16" s="163">
        <v>12</v>
      </c>
      <c r="E16" s="164">
        <f t="shared" si="0"/>
        <v>36000</v>
      </c>
      <c r="F16" s="165">
        <f t="shared" si="1"/>
        <v>20429.2941176471</v>
      </c>
      <c r="G16" s="165">
        <v>4719</v>
      </c>
      <c r="H16" s="165">
        <v>6344</v>
      </c>
      <c r="I16" s="171">
        <f t="shared" si="2"/>
        <v>9366.29411764706</v>
      </c>
      <c r="J16" s="153">
        <f t="shared" ref="J16:J19" si="5">-I16/E16</f>
        <v>-0.260174836601307</v>
      </c>
      <c r="L16" s="153" t="s">
        <v>162</v>
      </c>
      <c r="M16" s="153">
        <v>4226</v>
      </c>
      <c r="N16" s="153">
        <v>493</v>
      </c>
      <c r="O16" s="153">
        <f t="shared" si="4"/>
        <v>4719</v>
      </c>
      <c r="Q16" s="153">
        <v>6344</v>
      </c>
    </row>
    <row r="17" ht="22" customHeight="1" spans="1:17">
      <c r="A17" s="163">
        <v>13</v>
      </c>
      <c r="B17" s="163"/>
      <c r="C17" s="163" t="s">
        <v>163</v>
      </c>
      <c r="D17" s="163">
        <v>27</v>
      </c>
      <c r="E17" s="164">
        <f t="shared" si="0"/>
        <v>81000</v>
      </c>
      <c r="F17" s="165">
        <f t="shared" si="1"/>
        <v>45965.9117647059</v>
      </c>
      <c r="G17" s="165">
        <v>5911</v>
      </c>
      <c r="H17" s="165">
        <v>12870</v>
      </c>
      <c r="I17" s="171">
        <f t="shared" si="2"/>
        <v>27184.9117647059</v>
      </c>
      <c r="L17" s="153" t="s">
        <v>163</v>
      </c>
      <c r="M17" s="153">
        <v>4388</v>
      </c>
      <c r="N17" s="153">
        <v>1523</v>
      </c>
      <c r="O17" s="153">
        <f t="shared" si="4"/>
        <v>5911</v>
      </c>
      <c r="Q17" s="153">
        <v>12870</v>
      </c>
    </row>
    <row r="18" ht="22" customHeight="1" spans="1:17">
      <c r="A18" s="163">
        <v>14</v>
      </c>
      <c r="B18" s="163" t="s">
        <v>384</v>
      </c>
      <c r="C18" s="166" t="s">
        <v>194</v>
      </c>
      <c r="D18" s="163">
        <v>6</v>
      </c>
      <c r="E18" s="164">
        <f t="shared" si="0"/>
        <v>18000</v>
      </c>
      <c r="F18" s="165">
        <f t="shared" si="1"/>
        <v>10214.6470588235</v>
      </c>
      <c r="G18" s="165">
        <v>9042</v>
      </c>
      <c r="H18" s="165">
        <v>4945</v>
      </c>
      <c r="I18" s="171">
        <f t="shared" si="2"/>
        <v>-3772.35294117647</v>
      </c>
      <c r="J18" s="153">
        <f t="shared" si="5"/>
        <v>0.209575163398693</v>
      </c>
      <c r="L18" s="153" t="s">
        <v>194</v>
      </c>
      <c r="M18" s="153">
        <v>6940</v>
      </c>
      <c r="N18" s="153">
        <v>2102</v>
      </c>
      <c r="O18" s="153">
        <f t="shared" si="4"/>
        <v>9042</v>
      </c>
      <c r="Q18" s="153">
        <v>4945</v>
      </c>
    </row>
    <row r="19" ht="22" customHeight="1" spans="1:17">
      <c r="A19" s="163">
        <v>15</v>
      </c>
      <c r="B19" s="163"/>
      <c r="C19" s="163" t="s">
        <v>195</v>
      </c>
      <c r="D19" s="163">
        <v>5</v>
      </c>
      <c r="E19" s="164">
        <f t="shared" si="0"/>
        <v>15000</v>
      </c>
      <c r="F19" s="165">
        <f t="shared" si="1"/>
        <v>8512.20588235294</v>
      </c>
      <c r="G19" s="165">
        <v>8160</v>
      </c>
      <c r="H19" s="165">
        <v>6363</v>
      </c>
      <c r="I19" s="171">
        <f t="shared" si="2"/>
        <v>-6010.79411764706</v>
      </c>
      <c r="J19" s="153">
        <f t="shared" si="5"/>
        <v>0.400719607843137</v>
      </c>
      <c r="L19" s="153" t="s">
        <v>195</v>
      </c>
      <c r="M19" s="153">
        <v>6288</v>
      </c>
      <c r="N19" s="153">
        <v>1872</v>
      </c>
      <c r="O19" s="153">
        <f t="shared" si="4"/>
        <v>8160</v>
      </c>
      <c r="Q19" s="153">
        <v>6363</v>
      </c>
    </row>
    <row r="20" ht="22" customHeight="1" spans="1:17">
      <c r="A20" s="163">
        <v>16</v>
      </c>
      <c r="B20" s="167" t="s">
        <v>385</v>
      </c>
      <c r="C20" s="166" t="s">
        <v>199</v>
      </c>
      <c r="D20" s="163">
        <v>20</v>
      </c>
      <c r="E20" s="164">
        <f t="shared" si="0"/>
        <v>60000</v>
      </c>
      <c r="F20" s="165">
        <f t="shared" si="1"/>
        <v>34048.8235294118</v>
      </c>
      <c r="G20" s="165">
        <v>3962</v>
      </c>
      <c r="H20" s="165">
        <v>9064</v>
      </c>
      <c r="I20" s="171">
        <f t="shared" si="2"/>
        <v>21022.8235294118</v>
      </c>
      <c r="L20" s="153" t="s">
        <v>199</v>
      </c>
      <c r="M20" s="153">
        <v>1059</v>
      </c>
      <c r="N20" s="153">
        <v>2903</v>
      </c>
      <c r="O20" s="153">
        <f t="shared" si="4"/>
        <v>3962</v>
      </c>
      <c r="Q20" s="153">
        <v>9064</v>
      </c>
    </row>
    <row r="21" ht="22" customHeight="1" spans="1:17">
      <c r="A21" s="163">
        <v>17</v>
      </c>
      <c r="B21" s="168"/>
      <c r="C21" s="163" t="s">
        <v>200</v>
      </c>
      <c r="D21" s="163">
        <v>8</v>
      </c>
      <c r="E21" s="164">
        <f t="shared" si="0"/>
        <v>24000</v>
      </c>
      <c r="F21" s="165">
        <f t="shared" si="1"/>
        <v>13619.5294117647</v>
      </c>
      <c r="G21" s="165">
        <v>3680</v>
      </c>
      <c r="H21" s="165">
        <v>4749</v>
      </c>
      <c r="I21" s="171">
        <f t="shared" si="2"/>
        <v>5190.52941176471</v>
      </c>
      <c r="J21" s="153">
        <f t="shared" ref="J21:J26" si="6">-I21/E21</f>
        <v>-0.216272058823529</v>
      </c>
      <c r="L21" s="153" t="s">
        <v>200</v>
      </c>
      <c r="M21" s="153">
        <v>3634</v>
      </c>
      <c r="N21" s="153">
        <v>46</v>
      </c>
      <c r="O21" s="153">
        <f t="shared" si="4"/>
        <v>3680</v>
      </c>
      <c r="Q21" s="153">
        <v>4749</v>
      </c>
    </row>
    <row r="22" ht="22" customHeight="1" spans="1:17">
      <c r="A22" s="163">
        <v>18</v>
      </c>
      <c r="B22" s="168"/>
      <c r="C22" s="166" t="s">
        <v>202</v>
      </c>
      <c r="D22" s="163">
        <v>22</v>
      </c>
      <c r="E22" s="164">
        <f t="shared" si="0"/>
        <v>66000</v>
      </c>
      <c r="F22" s="165">
        <f t="shared" si="1"/>
        <v>37453.7058823529</v>
      </c>
      <c r="G22" s="165">
        <v>8703</v>
      </c>
      <c r="H22" s="165">
        <v>13381</v>
      </c>
      <c r="I22" s="171">
        <f t="shared" si="2"/>
        <v>15369.7058823529</v>
      </c>
      <c r="L22" s="153" t="s">
        <v>202</v>
      </c>
      <c r="M22" s="153">
        <v>7534</v>
      </c>
      <c r="N22" s="153">
        <v>1169</v>
      </c>
      <c r="O22" s="153">
        <f t="shared" si="4"/>
        <v>8703</v>
      </c>
      <c r="Q22" s="153">
        <v>13381</v>
      </c>
    </row>
    <row r="23" ht="22" customHeight="1" spans="1:17">
      <c r="A23" s="163">
        <v>19</v>
      </c>
      <c r="B23" s="169"/>
      <c r="C23" s="163" t="s">
        <v>203</v>
      </c>
      <c r="D23" s="163">
        <v>7</v>
      </c>
      <c r="E23" s="164">
        <f t="shared" si="0"/>
        <v>21000</v>
      </c>
      <c r="F23" s="165">
        <f t="shared" si="1"/>
        <v>11917.0882352941</v>
      </c>
      <c r="G23" s="165">
        <v>9179</v>
      </c>
      <c r="H23" s="165">
        <v>8780</v>
      </c>
      <c r="I23" s="171">
        <f t="shared" si="2"/>
        <v>-6041.91176470588</v>
      </c>
      <c r="J23" s="153">
        <f t="shared" si="6"/>
        <v>0.287710084033613</v>
      </c>
      <c r="L23" s="153" t="s">
        <v>203</v>
      </c>
      <c r="M23" s="153">
        <v>7918</v>
      </c>
      <c r="N23" s="153">
        <v>1261</v>
      </c>
      <c r="O23" s="153">
        <f t="shared" si="4"/>
        <v>9179</v>
      </c>
      <c r="Q23" s="153">
        <v>8780</v>
      </c>
    </row>
    <row r="24" ht="22" customHeight="1" spans="1:17">
      <c r="A24" s="163">
        <v>20</v>
      </c>
      <c r="B24" s="167" t="s">
        <v>386</v>
      </c>
      <c r="C24" s="163" t="s">
        <v>213</v>
      </c>
      <c r="D24" s="163">
        <v>37</v>
      </c>
      <c r="E24" s="164">
        <f t="shared" si="0"/>
        <v>111000</v>
      </c>
      <c r="F24" s="165">
        <f t="shared" si="1"/>
        <v>62990.3235294118</v>
      </c>
      <c r="G24" s="165">
        <v>57549</v>
      </c>
      <c r="H24" s="165">
        <v>33970</v>
      </c>
      <c r="I24" s="171">
        <f t="shared" si="2"/>
        <v>-28528.6764705882</v>
      </c>
      <c r="J24" s="153">
        <f t="shared" si="6"/>
        <v>0.257015103338633</v>
      </c>
      <c r="L24" s="153" t="s">
        <v>213</v>
      </c>
      <c r="M24" s="153">
        <v>39727</v>
      </c>
      <c r="N24" s="153">
        <v>17822</v>
      </c>
      <c r="O24" s="153">
        <f t="shared" si="4"/>
        <v>57549</v>
      </c>
      <c r="Q24" s="153">
        <v>33970</v>
      </c>
    </row>
    <row r="25" ht="22" customHeight="1" spans="1:17">
      <c r="A25" s="163">
        <v>21</v>
      </c>
      <c r="B25" s="168"/>
      <c r="C25" s="163" t="s">
        <v>214</v>
      </c>
      <c r="D25" s="163">
        <v>29</v>
      </c>
      <c r="E25" s="164">
        <f t="shared" si="0"/>
        <v>87000</v>
      </c>
      <c r="F25" s="165">
        <f t="shared" si="1"/>
        <v>49370.7941176471</v>
      </c>
      <c r="G25" s="165">
        <v>51426</v>
      </c>
      <c r="H25" s="165">
        <v>37190</v>
      </c>
      <c r="I25" s="171">
        <f t="shared" si="2"/>
        <v>-39245.2058823529</v>
      </c>
      <c r="J25" s="153">
        <f t="shared" si="6"/>
        <v>0.451094320486815</v>
      </c>
      <c r="L25" s="153" t="s">
        <v>214</v>
      </c>
      <c r="M25" s="153">
        <v>41283</v>
      </c>
      <c r="N25" s="153">
        <v>10143</v>
      </c>
      <c r="O25" s="153">
        <f t="shared" si="4"/>
        <v>51426</v>
      </c>
      <c r="Q25" s="153">
        <v>37190</v>
      </c>
    </row>
    <row r="26" ht="22" customHeight="1" spans="1:17">
      <c r="A26" s="163">
        <v>22</v>
      </c>
      <c r="B26" s="169"/>
      <c r="C26" s="163" t="s">
        <v>215</v>
      </c>
      <c r="D26" s="163">
        <v>13</v>
      </c>
      <c r="E26" s="164">
        <f t="shared" si="0"/>
        <v>39000</v>
      </c>
      <c r="F26" s="165">
        <f t="shared" si="1"/>
        <v>22131.7352941176</v>
      </c>
      <c r="G26" s="165">
        <v>30859</v>
      </c>
      <c r="H26" s="165">
        <v>20826</v>
      </c>
      <c r="I26" s="171">
        <f t="shared" si="2"/>
        <v>-29553.2647058824</v>
      </c>
      <c r="J26" s="153">
        <f t="shared" si="6"/>
        <v>0.757776018099548</v>
      </c>
      <c r="L26" s="153" t="s">
        <v>215</v>
      </c>
      <c r="M26" s="153">
        <v>24171</v>
      </c>
      <c r="N26" s="153">
        <v>6688</v>
      </c>
      <c r="O26" s="153">
        <f t="shared" si="4"/>
        <v>30859</v>
      </c>
      <c r="Q26" s="153">
        <v>20826</v>
      </c>
    </row>
    <row r="27" ht="22" customHeight="1" spans="1:17">
      <c r="A27" s="163">
        <v>23</v>
      </c>
      <c r="B27" s="167" t="s">
        <v>387</v>
      </c>
      <c r="C27" s="166" t="s">
        <v>228</v>
      </c>
      <c r="D27" s="163">
        <v>14</v>
      </c>
      <c r="E27" s="164">
        <f t="shared" si="0"/>
        <v>42000</v>
      </c>
      <c r="F27" s="165">
        <f t="shared" si="1"/>
        <v>23834.1764705882</v>
      </c>
      <c r="G27" s="165">
        <v>7459</v>
      </c>
      <c r="H27" s="165">
        <v>8214</v>
      </c>
      <c r="I27" s="171">
        <f t="shared" si="2"/>
        <v>8161.17647058823</v>
      </c>
      <c r="L27" s="153" t="s">
        <v>228</v>
      </c>
      <c r="M27" s="153">
        <v>5118</v>
      </c>
      <c r="N27" s="153">
        <v>2341</v>
      </c>
      <c r="O27" s="153">
        <f t="shared" si="4"/>
        <v>7459</v>
      </c>
      <c r="Q27" s="153">
        <v>8214</v>
      </c>
    </row>
    <row r="28" ht="22" customHeight="1" spans="1:17">
      <c r="A28" s="163">
        <v>24</v>
      </c>
      <c r="B28" s="168"/>
      <c r="C28" s="163" t="s">
        <v>230</v>
      </c>
      <c r="D28" s="163">
        <v>7</v>
      </c>
      <c r="E28" s="164">
        <f t="shared" si="0"/>
        <v>21000</v>
      </c>
      <c r="F28" s="165">
        <f t="shared" si="1"/>
        <v>11917.0882352941</v>
      </c>
      <c r="G28" s="165">
        <v>6218</v>
      </c>
      <c r="H28" s="165">
        <v>5066</v>
      </c>
      <c r="I28" s="171">
        <f t="shared" si="2"/>
        <v>633.088235294117</v>
      </c>
      <c r="J28" s="153">
        <f>-I28/E28</f>
        <v>-0.0301470588235294</v>
      </c>
      <c r="L28" s="153" t="s">
        <v>230</v>
      </c>
      <c r="M28" s="153">
        <v>4839</v>
      </c>
      <c r="N28" s="153">
        <v>1379</v>
      </c>
      <c r="O28" s="153">
        <f t="shared" si="4"/>
        <v>6218</v>
      </c>
      <c r="Q28" s="153">
        <v>5066</v>
      </c>
    </row>
    <row r="29" ht="22" customHeight="1" spans="1:17">
      <c r="A29" s="163">
        <v>25</v>
      </c>
      <c r="B29" s="169"/>
      <c r="C29" s="166" t="s">
        <v>231</v>
      </c>
      <c r="D29" s="163">
        <v>23</v>
      </c>
      <c r="E29" s="164">
        <f t="shared" si="0"/>
        <v>69000</v>
      </c>
      <c r="F29" s="165">
        <f t="shared" si="1"/>
        <v>39156.1470588235</v>
      </c>
      <c r="G29" s="165">
        <v>11078</v>
      </c>
      <c r="H29" s="165">
        <v>14292</v>
      </c>
      <c r="I29" s="171">
        <f t="shared" si="2"/>
        <v>13786.1470588235</v>
      </c>
      <c r="L29" s="153" t="s">
        <v>231</v>
      </c>
      <c r="M29" s="153">
        <v>7790</v>
      </c>
      <c r="N29" s="153">
        <v>3288</v>
      </c>
      <c r="O29" s="153">
        <f t="shared" si="4"/>
        <v>11078</v>
      </c>
      <c r="Q29" s="153">
        <v>14292</v>
      </c>
    </row>
  </sheetData>
  <mergeCells count="10">
    <mergeCell ref="A1:I1"/>
    <mergeCell ref="A4:C4"/>
    <mergeCell ref="B5:B7"/>
    <mergeCell ref="B8:B10"/>
    <mergeCell ref="B11:B14"/>
    <mergeCell ref="B15:B17"/>
    <mergeCell ref="B18:B19"/>
    <mergeCell ref="B20:B23"/>
    <mergeCell ref="B24:B26"/>
    <mergeCell ref="B27:B29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zoomScale="115" zoomScaleNormal="115" workbookViewId="0">
      <selection activeCell="G10" sqref="G10"/>
    </sheetView>
  </sheetViews>
  <sheetFormatPr defaultColWidth="9" defaultRowHeight="14.25" outlineLevelCol="4"/>
  <cols>
    <col min="1" max="1" width="15.575" style="138" customWidth="1"/>
    <col min="2" max="2" width="12.7083333333333" style="139" customWidth="1"/>
    <col min="3" max="3" width="17.0583333333333" style="12" customWidth="1"/>
    <col min="4" max="4" width="16.075" style="139" customWidth="1"/>
    <col min="5" max="5" width="23.3666666666667" style="139" customWidth="1"/>
  </cols>
  <sheetData>
    <row r="1" s="136" customFormat="1" ht="25" customHeight="1" spans="1:5">
      <c r="A1" s="140" t="s">
        <v>388</v>
      </c>
      <c r="B1" s="140"/>
      <c r="C1" s="140"/>
      <c r="D1" s="140"/>
      <c r="E1" s="140"/>
    </row>
    <row r="2" s="136" customFormat="1" ht="41" customHeight="1" spans="1:5">
      <c r="A2" s="141" t="s">
        <v>389</v>
      </c>
      <c r="B2" s="141"/>
      <c r="C2" s="141"/>
      <c r="D2" s="141"/>
      <c r="E2" s="141"/>
    </row>
    <row r="3" s="136" customFormat="1" ht="31" customHeight="1" spans="1:5">
      <c r="A3" s="142" t="s">
        <v>2</v>
      </c>
      <c r="B3" s="142"/>
      <c r="C3" s="142"/>
      <c r="D3" s="142"/>
      <c r="E3" s="142"/>
    </row>
    <row r="4" s="137" customFormat="1" ht="33" customHeight="1" spans="1:5">
      <c r="A4" s="143" t="s">
        <v>390</v>
      </c>
      <c r="B4" s="144" t="s">
        <v>391</v>
      </c>
      <c r="C4" s="145" t="s">
        <v>392</v>
      </c>
      <c r="D4" s="145"/>
      <c r="E4" s="145"/>
    </row>
    <row r="5" s="137" customFormat="1" ht="39" customHeight="1" spans="1:5">
      <c r="A5" s="143"/>
      <c r="B5" s="144"/>
      <c r="C5" s="145" t="s">
        <v>393</v>
      </c>
      <c r="D5" s="144" t="s">
        <v>394</v>
      </c>
      <c r="E5" s="146"/>
    </row>
    <row r="6" s="137" customFormat="1" ht="37" customHeight="1" spans="1:5">
      <c r="A6" s="143"/>
      <c r="B6" s="144"/>
      <c r="C6" s="145"/>
      <c r="D6" s="144" t="s">
        <v>395</v>
      </c>
      <c r="E6" s="144" t="s">
        <v>396</v>
      </c>
    </row>
    <row r="7" s="1" customFormat="1" ht="36" customHeight="1" spans="1:5">
      <c r="A7" s="147" t="s">
        <v>99</v>
      </c>
      <c r="B7" s="148">
        <f>SUM(B8:B9)</f>
        <v>873.75</v>
      </c>
      <c r="C7" s="148">
        <f>SUM(C8:C9)</f>
        <v>540</v>
      </c>
      <c r="D7" s="148">
        <f>SUM(D8:D9)</f>
        <v>333.75</v>
      </c>
      <c r="E7" s="148">
        <v>0</v>
      </c>
    </row>
    <row r="8" s="5" customFormat="1" ht="36" customHeight="1" spans="1:5">
      <c r="A8" s="149" t="s">
        <v>104</v>
      </c>
      <c r="B8" s="148">
        <f>C8+D8+E8</f>
        <v>5.42</v>
      </c>
      <c r="C8" s="150"/>
      <c r="D8" s="150">
        <v>5.42</v>
      </c>
      <c r="E8" s="150">
        <v>0</v>
      </c>
    </row>
    <row r="9" s="5" customFormat="1" ht="36" customHeight="1" spans="1:5">
      <c r="A9" s="149" t="s">
        <v>107</v>
      </c>
      <c r="B9" s="148">
        <f>C9+D9+E9</f>
        <v>868.33</v>
      </c>
      <c r="C9" s="150">
        <v>540</v>
      </c>
      <c r="D9" s="150">
        <v>328.33</v>
      </c>
      <c r="E9" s="150">
        <v>0</v>
      </c>
    </row>
    <row r="10" ht="46" customHeight="1" spans="1:5">
      <c r="A10" s="151" t="s">
        <v>397</v>
      </c>
      <c r="B10" s="151"/>
      <c r="C10" s="151"/>
      <c r="D10" s="151"/>
      <c r="E10" s="151"/>
    </row>
  </sheetData>
  <mergeCells count="9">
    <mergeCell ref="A1:E1"/>
    <mergeCell ref="A2:E2"/>
    <mergeCell ref="A3:E3"/>
    <mergeCell ref="C4:E4"/>
    <mergeCell ref="D5:E5"/>
    <mergeCell ref="A10:E10"/>
    <mergeCell ref="A4:A6"/>
    <mergeCell ref="B4:B6"/>
    <mergeCell ref="C5:C6"/>
  </mergeCells>
  <printOptions horizontalCentered="1"/>
  <pageMargins left="0.790972222222222" right="0.790972222222222" top="1" bottom="1" header="0.550694444444444" footer="0.550694444444444"/>
  <pageSetup paperSize="9" fitToHeight="0" orientation="portrait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G197"/>
  <sheetViews>
    <sheetView zoomScale="85" zoomScaleNormal="85" workbookViewId="0">
      <pane xSplit="3" ySplit="8" topLeftCell="Y9" activePane="bottomRight" state="frozen"/>
      <selection/>
      <selection pane="topRight"/>
      <selection pane="bottomLeft"/>
      <selection pane="bottomRight" activeCell="AB5" sqref="AB5:AI6"/>
    </sheetView>
  </sheetViews>
  <sheetFormatPr defaultColWidth="9" defaultRowHeight="13.5"/>
  <cols>
    <col min="1" max="1" width="4.875" style="9" customWidth="1"/>
    <col min="2" max="2" width="10.8833333333333" style="10" customWidth="1"/>
    <col min="3" max="3" width="8.125" style="9" customWidth="1"/>
    <col min="4" max="4" width="8.25" style="9" customWidth="1"/>
    <col min="5" max="6" width="7" style="9" customWidth="1"/>
    <col min="7" max="9" width="7.5" style="9" hidden="1" customWidth="1"/>
    <col min="10" max="10" width="7.625" style="11" customWidth="1"/>
    <col min="11" max="11" width="8.75" style="11" customWidth="1"/>
    <col min="12" max="18" width="7.625" style="11" customWidth="1"/>
    <col min="19" max="19" width="6.5" style="11" customWidth="1"/>
    <col min="20" max="20" width="8.56666666666667" style="11" customWidth="1"/>
    <col min="21" max="21" width="8.20833333333333" style="11" customWidth="1"/>
    <col min="22" max="22" width="9.1" style="11" customWidth="1"/>
    <col min="23" max="24" width="8.75" style="11" customWidth="1"/>
    <col min="25" max="25" width="7.625" style="11" customWidth="1"/>
    <col min="26" max="27" width="7.64166666666667" style="11" customWidth="1"/>
    <col min="28" max="29" width="7.125" style="12" customWidth="1"/>
    <col min="30" max="30" width="7.65" style="12" customWidth="1"/>
    <col min="31" max="31" width="8.81666666666667" style="12" customWidth="1"/>
    <col min="32" max="34" width="7.675" style="12" customWidth="1"/>
    <col min="35" max="35" width="6.31666666666667" style="12" customWidth="1"/>
    <col min="36" max="37" width="6.46666666666667" style="12" customWidth="1"/>
    <col min="38" max="39" width="7.79166666666667" style="12" customWidth="1"/>
    <col min="40" max="40" width="9.875" style="12" customWidth="1"/>
    <col min="41" max="43" width="7.375" style="11" customWidth="1"/>
    <col min="44" max="44" width="8.75" style="5" customWidth="1"/>
    <col min="45" max="85" width="9" style="5"/>
  </cols>
  <sheetData>
    <row r="1" spans="1:85">
      <c r="A1" s="9" t="s">
        <v>398</v>
      </c>
      <c r="F1" s="13"/>
      <c r="G1" s="11"/>
      <c r="H1" s="11"/>
      <c r="I1" s="11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</row>
    <row r="2" ht="30" customHeight="1" spans="1:43">
      <c r="A2" s="14" t="s">
        <v>399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</row>
    <row r="3" ht="17" customHeight="1" spans="1:43">
      <c r="A3" s="15"/>
      <c r="B3" s="16"/>
      <c r="C3" s="15"/>
      <c r="D3" s="15"/>
      <c r="E3" s="15"/>
      <c r="F3" s="15"/>
      <c r="G3" s="15"/>
      <c r="H3" s="15"/>
      <c r="I3" s="15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O3" s="59"/>
      <c r="AP3" s="59"/>
      <c r="AQ3" s="59" t="s">
        <v>2</v>
      </c>
    </row>
    <row r="4" customFormat="1" ht="17" customHeight="1" spans="1:47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8"/>
      <c r="H4" s="18"/>
      <c r="I4" s="18"/>
      <c r="J4" s="60" t="s">
        <v>400</v>
      </c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123" t="s">
        <v>401</v>
      </c>
      <c r="AS4" s="63" t="s">
        <v>402</v>
      </c>
      <c r="AT4" s="63" t="s">
        <v>403</v>
      </c>
      <c r="AU4" s="18" t="s">
        <v>376</v>
      </c>
    </row>
    <row r="5" s="1" customFormat="1" ht="33" customHeight="1" spans="1:47">
      <c r="A5" s="19"/>
      <c r="B5" s="19"/>
      <c r="C5" s="19"/>
      <c r="D5" s="19"/>
      <c r="E5" s="19"/>
      <c r="F5" s="19"/>
      <c r="G5" s="20"/>
      <c r="H5" s="20"/>
      <c r="I5" s="20"/>
      <c r="J5" s="61" t="s">
        <v>11</v>
      </c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81"/>
      <c r="Y5" s="87" t="s">
        <v>404</v>
      </c>
      <c r="Z5" s="88"/>
      <c r="AA5" s="89"/>
      <c r="AB5" s="90" t="s">
        <v>405</v>
      </c>
      <c r="AC5" s="90"/>
      <c r="AD5" s="90"/>
      <c r="AE5" s="90"/>
      <c r="AF5" s="90"/>
      <c r="AG5" s="90"/>
      <c r="AH5" s="90"/>
      <c r="AI5" s="90"/>
      <c r="AJ5" s="107" t="s">
        <v>14</v>
      </c>
      <c r="AK5" s="108"/>
      <c r="AL5" s="108"/>
      <c r="AM5" s="109"/>
      <c r="AN5" s="63" t="s">
        <v>406</v>
      </c>
      <c r="AO5" s="124" t="s">
        <v>407</v>
      </c>
      <c r="AP5" s="100" t="s">
        <v>408</v>
      </c>
      <c r="AQ5" s="100" t="s">
        <v>409</v>
      </c>
      <c r="AR5" s="123"/>
      <c r="AS5" s="63"/>
      <c r="AT5" s="63"/>
      <c r="AU5" s="20"/>
    </row>
    <row r="6" s="1" customFormat="1" ht="30" customHeight="1" spans="1:47">
      <c r="A6" s="19"/>
      <c r="B6" s="19"/>
      <c r="C6" s="19"/>
      <c r="D6" s="19"/>
      <c r="E6" s="19"/>
      <c r="F6" s="19"/>
      <c r="G6" s="20"/>
      <c r="H6" s="20"/>
      <c r="I6" s="20"/>
      <c r="J6" s="63" t="s">
        <v>20</v>
      </c>
      <c r="K6" s="63"/>
      <c r="L6" s="63"/>
      <c r="M6" s="63"/>
      <c r="N6" s="63"/>
      <c r="O6" s="63"/>
      <c r="P6" s="63"/>
      <c r="Q6" s="63" t="s">
        <v>21</v>
      </c>
      <c r="R6" s="63" t="s">
        <v>22</v>
      </c>
      <c r="S6" s="63"/>
      <c r="T6" s="63"/>
      <c r="U6" s="63"/>
      <c r="V6" s="63"/>
      <c r="W6" s="63"/>
      <c r="X6" s="82" t="s">
        <v>23</v>
      </c>
      <c r="Y6" s="91"/>
      <c r="Z6" s="92"/>
      <c r="AA6" s="93"/>
      <c r="AB6" s="90"/>
      <c r="AC6" s="90"/>
      <c r="AD6" s="90"/>
      <c r="AE6" s="90"/>
      <c r="AF6" s="90"/>
      <c r="AG6" s="90"/>
      <c r="AH6" s="90"/>
      <c r="AI6" s="90"/>
      <c r="AJ6" s="110"/>
      <c r="AK6" s="111"/>
      <c r="AL6" s="111"/>
      <c r="AM6" s="112"/>
      <c r="AN6" s="63"/>
      <c r="AO6" s="124"/>
      <c r="AP6" s="100"/>
      <c r="AQ6" s="100"/>
      <c r="AR6" s="123"/>
      <c r="AS6" s="63"/>
      <c r="AT6" s="63"/>
      <c r="AU6" s="20"/>
    </row>
    <row r="7" s="1" customFormat="1" ht="37" customHeight="1" spans="1:47">
      <c r="A7" s="19"/>
      <c r="B7" s="19"/>
      <c r="C7" s="19"/>
      <c r="D7" s="19"/>
      <c r="E7" s="19"/>
      <c r="F7" s="19"/>
      <c r="G7" s="20"/>
      <c r="H7" s="20"/>
      <c r="I7" s="20"/>
      <c r="J7" s="64" t="s">
        <v>24</v>
      </c>
      <c r="K7" s="64" t="s">
        <v>25</v>
      </c>
      <c r="L7" s="64"/>
      <c r="M7" s="64"/>
      <c r="N7" s="64"/>
      <c r="O7" s="64"/>
      <c r="P7" s="64"/>
      <c r="Q7" s="63"/>
      <c r="R7" s="64" t="s">
        <v>26</v>
      </c>
      <c r="S7" s="64" t="s">
        <v>27</v>
      </c>
      <c r="T7" s="64"/>
      <c r="U7" s="64"/>
      <c r="V7" s="64"/>
      <c r="W7" s="64"/>
      <c r="X7" s="83"/>
      <c r="Y7" s="63" t="s">
        <v>28</v>
      </c>
      <c r="Z7" s="63" t="s">
        <v>29</v>
      </c>
      <c r="AA7" s="82" t="s">
        <v>23</v>
      </c>
      <c r="AB7" s="94" t="s">
        <v>410</v>
      </c>
      <c r="AC7" s="95"/>
      <c r="AD7" s="63" t="s">
        <v>411</v>
      </c>
      <c r="AE7" s="63"/>
      <c r="AF7" s="63"/>
      <c r="AG7" s="63" t="s">
        <v>412</v>
      </c>
      <c r="AH7" s="63"/>
      <c r="AI7" s="63" t="s">
        <v>413</v>
      </c>
      <c r="AJ7" s="63" t="s">
        <v>34</v>
      </c>
      <c r="AK7" s="63"/>
      <c r="AL7" s="63" t="s">
        <v>414</v>
      </c>
      <c r="AM7" s="63"/>
      <c r="AN7" s="63"/>
      <c r="AO7" s="124"/>
      <c r="AP7" s="100"/>
      <c r="AQ7" s="100"/>
      <c r="AR7" s="123"/>
      <c r="AS7" s="63"/>
      <c r="AT7" s="63"/>
      <c r="AU7" s="20"/>
    </row>
    <row r="8" s="1" customFormat="1" ht="84" customHeight="1" spans="1:47">
      <c r="A8" s="21"/>
      <c r="B8" s="21"/>
      <c r="C8" s="21"/>
      <c r="D8" s="21"/>
      <c r="E8" s="21"/>
      <c r="F8" s="21"/>
      <c r="G8" s="22"/>
      <c r="H8" s="22"/>
      <c r="I8" s="22"/>
      <c r="J8" s="64"/>
      <c r="K8" s="64" t="s">
        <v>36</v>
      </c>
      <c r="L8" s="64" t="s">
        <v>37</v>
      </c>
      <c r="M8" s="64" t="s">
        <v>38</v>
      </c>
      <c r="N8" s="64" t="s">
        <v>39</v>
      </c>
      <c r="O8" s="64" t="s">
        <v>40</v>
      </c>
      <c r="P8" s="64" t="s">
        <v>41</v>
      </c>
      <c r="Q8" s="63"/>
      <c r="R8" s="64"/>
      <c r="S8" s="64" t="s">
        <v>36</v>
      </c>
      <c r="T8" s="64" t="s">
        <v>42</v>
      </c>
      <c r="U8" s="63" t="s">
        <v>43</v>
      </c>
      <c r="V8" s="63" t="s">
        <v>44</v>
      </c>
      <c r="W8" s="63" t="s">
        <v>45</v>
      </c>
      <c r="X8" s="84"/>
      <c r="Y8" s="96"/>
      <c r="Z8" s="96"/>
      <c r="AA8" s="97"/>
      <c r="AB8" s="98" t="s">
        <v>46</v>
      </c>
      <c r="AC8" s="99" t="s">
        <v>23</v>
      </c>
      <c r="AD8" s="99" t="s">
        <v>415</v>
      </c>
      <c r="AE8" s="63" t="s">
        <v>48</v>
      </c>
      <c r="AF8" s="100" t="s">
        <v>50</v>
      </c>
      <c r="AG8" s="63" t="s">
        <v>416</v>
      </c>
      <c r="AH8" s="99" t="s">
        <v>23</v>
      </c>
      <c r="AI8" s="63"/>
      <c r="AJ8" s="63" t="s">
        <v>417</v>
      </c>
      <c r="AK8" s="99" t="s">
        <v>23</v>
      </c>
      <c r="AL8" s="63" t="s">
        <v>54</v>
      </c>
      <c r="AM8" s="99" t="s">
        <v>23</v>
      </c>
      <c r="AN8" s="63"/>
      <c r="AO8" s="124"/>
      <c r="AP8" s="100"/>
      <c r="AQ8" s="100"/>
      <c r="AR8" s="123"/>
      <c r="AS8" s="63"/>
      <c r="AT8" s="63"/>
      <c r="AU8" s="22"/>
    </row>
    <row r="9" s="2" customFormat="1" ht="24" customHeight="1" spans="1:8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/>
      <c r="H9" s="23"/>
      <c r="I9" s="23"/>
      <c r="J9" s="23">
        <v>8</v>
      </c>
      <c r="K9" s="23">
        <v>9</v>
      </c>
      <c r="L9" s="23">
        <v>10</v>
      </c>
      <c r="M9" s="23">
        <v>11</v>
      </c>
      <c r="N9" s="23">
        <v>12</v>
      </c>
      <c r="O9" s="23">
        <v>13</v>
      </c>
      <c r="P9" s="23">
        <v>14</v>
      </c>
      <c r="Q9" s="23">
        <v>15</v>
      </c>
      <c r="R9" s="23">
        <v>16</v>
      </c>
      <c r="S9" s="23">
        <v>17</v>
      </c>
      <c r="T9" s="23">
        <v>18</v>
      </c>
      <c r="U9" s="23">
        <v>19</v>
      </c>
      <c r="V9" s="23">
        <v>20</v>
      </c>
      <c r="W9" s="23">
        <v>21</v>
      </c>
      <c r="X9" s="23"/>
      <c r="Y9" s="23">
        <v>22</v>
      </c>
      <c r="Z9" s="23">
        <v>23</v>
      </c>
      <c r="AA9" s="23"/>
      <c r="AB9" s="23">
        <v>24</v>
      </c>
      <c r="AC9" s="23"/>
      <c r="AD9" s="23"/>
      <c r="AE9" s="23">
        <v>25</v>
      </c>
      <c r="AF9" s="23"/>
      <c r="AG9" s="23"/>
      <c r="AH9" s="23"/>
      <c r="AI9" s="23">
        <v>26</v>
      </c>
      <c r="AJ9" s="23"/>
      <c r="AK9" s="67"/>
      <c r="AL9" s="23">
        <v>27</v>
      </c>
      <c r="AM9" s="67"/>
      <c r="AN9" s="23">
        <v>29</v>
      </c>
      <c r="AO9" s="23">
        <v>30</v>
      </c>
      <c r="AP9" s="23">
        <v>31</v>
      </c>
      <c r="AQ9" s="23">
        <v>32</v>
      </c>
      <c r="AR9" s="23">
        <v>33</v>
      </c>
      <c r="AS9" s="23">
        <v>34</v>
      </c>
      <c r="AT9" s="23">
        <v>35</v>
      </c>
      <c r="AU9" s="23">
        <v>7</v>
      </c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</row>
    <row r="10" s="3" customFormat="1" ht="17" customHeight="1" spans="1:85">
      <c r="A10" s="24"/>
      <c r="B10" s="25" t="s">
        <v>55</v>
      </c>
      <c r="C10" s="26">
        <v>0</v>
      </c>
      <c r="D10" s="26"/>
      <c r="E10" s="26"/>
      <c r="F10" s="27"/>
      <c r="G10" s="28">
        <f>SUM(SUMIF($C:$C,"1",G:G))</f>
        <v>1669025</v>
      </c>
      <c r="H10" s="28" t="e">
        <f>G10*#REF!/$G$10</f>
        <v>#REF!</v>
      </c>
      <c r="I10" s="28">
        <f>SUM(SUMIF($C:$C,"1",I:I))</f>
        <v>0</v>
      </c>
      <c r="J10" s="65">
        <f>SUM(SUMIF($C:$C,"1",J:J))</f>
        <v>6652993</v>
      </c>
      <c r="K10" s="65">
        <f>SUM(SUMIF($C:$C,"1",K:K))</f>
        <v>4779587.2</v>
      </c>
      <c r="L10" s="65">
        <f>SUM(SUMIF($C:$C,"1",L:L))</f>
        <v>117751.6</v>
      </c>
      <c r="M10" s="65">
        <f>SUM(SUMIF($C:$C,"1",M:M))</f>
        <v>198328.8</v>
      </c>
      <c r="N10" s="65">
        <f>SUM(SUMIF($C:$C,"1",N:N))</f>
        <v>843038.4</v>
      </c>
      <c r="O10" s="65">
        <f>SUM(SUMIF($C:$C,"1",O:O))</f>
        <v>2171522.4</v>
      </c>
      <c r="P10" s="65">
        <f>SUM(SUMIF($C:$C,"1",P:P))</f>
        <v>1448946</v>
      </c>
      <c r="Q10" s="65">
        <f>SUM(SUMIF($C:$C,"1",Q:Q))</f>
        <v>832948</v>
      </c>
      <c r="R10" s="65">
        <f>SUM(SUMIF($C:$C,"1",R:R))</f>
        <v>996117</v>
      </c>
      <c r="S10" s="65">
        <f>SUM(SUMIF($C:$C,"1",S:S))</f>
        <v>930735.6</v>
      </c>
      <c r="T10" s="65">
        <f>SUM(SUMIF($C:$C,"1",T:T))</f>
        <v>3038</v>
      </c>
      <c r="U10" s="65">
        <f>SUM(SUMIF($C:$C,"1",U:U))</f>
        <v>37715.4</v>
      </c>
      <c r="V10" s="65">
        <f>SUM(SUMIF($C:$C,"1",V:V))</f>
        <v>142723.2</v>
      </c>
      <c r="W10" s="65">
        <f>SUM(SUMIF($C:$C,"1",W:W))</f>
        <v>747259</v>
      </c>
      <c r="X10" s="80">
        <f>SUM(SUMIF($C:$C,"1",X:X))</f>
        <v>376479.9</v>
      </c>
      <c r="Y10" s="65">
        <f>SUM(SUMIF($C:$C,"1",Y:Y))</f>
        <v>0</v>
      </c>
      <c r="Z10" s="65">
        <f>SUM(SUMIF($C:$C,"1",Z:Z))</f>
        <v>18.0567644276254</v>
      </c>
      <c r="AA10" s="80">
        <f>SUM(SUMIF($C:$C,"1",AA:AA))</f>
        <v>250986.6</v>
      </c>
      <c r="AB10" s="65">
        <f>SUM(SUMIF($C:$C,"1",AB:AB))</f>
        <v>374</v>
      </c>
      <c r="AC10" s="65">
        <f>SUM(SUMIF($C:$C,"1",AC:AC))</f>
        <v>125493.3</v>
      </c>
      <c r="AD10" s="65">
        <f>SUM(SUMIF($C:$C,"1",AD:AD))</f>
        <v>48600</v>
      </c>
      <c r="AE10" s="86">
        <f>SUM(SUMIF($C:$C,"1",AE:AE))</f>
        <v>3577245.8</v>
      </c>
      <c r="AF10" s="86">
        <f>SUM(SUMIF($C:$C,"1",AF:AF))</f>
        <v>372626.55</v>
      </c>
      <c r="AG10" s="86">
        <f>SUM(SUMIF($C:$C,"1",AG:AG))</f>
        <v>997</v>
      </c>
      <c r="AH10" s="86">
        <f>SUM(SUMIF($C:$C,"1",AH:AH))</f>
        <v>10000</v>
      </c>
      <c r="AI10" s="65">
        <f>SUM(SUMIF($C:$C,"1",AI:AI))</f>
        <v>8000</v>
      </c>
      <c r="AJ10" s="113">
        <f>SUM(AJ22:AJ195)</f>
        <v>102.259922967728</v>
      </c>
      <c r="AK10" s="86">
        <f>SUM(SUMIF($C:$C,"1",AK:AK))</f>
        <v>31373.325</v>
      </c>
      <c r="AL10" s="86">
        <f>SUM(SUMIF($C:$C,"1",AL:AL))</f>
        <v>11268.25</v>
      </c>
      <c r="AM10" s="86">
        <f>SUM(SUMIF($C:$C,"1",AM:AM))</f>
        <v>31373.325</v>
      </c>
      <c r="AN10" s="65">
        <f>SUM(SUMIF($C:$C,"1",AN:AN))</f>
        <v>1254939</v>
      </c>
      <c r="AO10" s="65" t="e">
        <f>SUM(SUMIF($C:$C,"1",AO:AO))</f>
        <v>#REF!</v>
      </c>
      <c r="AP10" s="86" t="e">
        <f t="shared" ref="AP10:AP14" si="0">AN10-AO10</f>
        <v>#REF!</v>
      </c>
      <c r="AQ10" s="125" t="e">
        <f t="shared" ref="AQ10:AQ18" si="1">AP10/AO10</f>
        <v>#REF!</v>
      </c>
      <c r="AR10" s="65">
        <f>SUM(SUMIF($C:$C,"1",AR:AR))</f>
        <v>31580</v>
      </c>
      <c r="AS10" s="65">
        <f>SUM(SUMIF($C:$C,"1",AS:AS))</f>
        <v>3037</v>
      </c>
      <c r="AT10" s="65">
        <f>SUM(SUMIF($C:$C,"1",AT:AT))</f>
        <v>2898</v>
      </c>
      <c r="AU10" s="28">
        <f>SUM(SUMIF($C:$C,"1",AU:AU))</f>
        <v>1292454</v>
      </c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</row>
    <row r="11" ht="17" customHeight="1" spans="1:47">
      <c r="A11" s="29"/>
      <c r="B11" s="30" t="s">
        <v>56</v>
      </c>
      <c r="C11" s="31">
        <v>1</v>
      </c>
      <c r="D11" s="31"/>
      <c r="E11" s="31"/>
      <c r="F11" s="32"/>
      <c r="G11" s="33">
        <v>37912</v>
      </c>
      <c r="H11" s="34"/>
      <c r="I11" s="34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33"/>
      <c r="Y11" s="66"/>
      <c r="Z11" s="66"/>
      <c r="AA11" s="33"/>
      <c r="AB11" s="66"/>
      <c r="AC11" s="66"/>
      <c r="AD11" s="66"/>
      <c r="AE11" s="101"/>
      <c r="AF11" s="101"/>
      <c r="AG11" s="101"/>
      <c r="AH11" s="101"/>
      <c r="AI11" s="66"/>
      <c r="AJ11" s="114"/>
      <c r="AK11" s="101"/>
      <c r="AL11" s="101"/>
      <c r="AM11" s="101"/>
      <c r="AN11" s="67"/>
      <c r="AO11" s="67"/>
      <c r="AP11" s="44">
        <f t="shared" si="0"/>
        <v>0</v>
      </c>
      <c r="AQ11" s="126"/>
      <c r="AR11" s="66"/>
      <c r="AS11" s="66"/>
      <c r="AT11" s="66"/>
      <c r="AU11" s="34"/>
    </row>
    <row r="12" s="4" customFormat="1" ht="17" customHeight="1" spans="1:85">
      <c r="A12" s="35"/>
      <c r="B12" s="36" t="s">
        <v>58</v>
      </c>
      <c r="C12" s="37">
        <v>0</v>
      </c>
      <c r="D12" s="37"/>
      <c r="E12" s="37"/>
      <c r="F12" s="38"/>
      <c r="G12" s="28">
        <f>SUM(SUMIF($C:$C,"2",G:G))</f>
        <v>74574</v>
      </c>
      <c r="H12" s="28">
        <f>SUM(SUMIF($C:$C,"2",H:H))</f>
        <v>0</v>
      </c>
      <c r="I12" s="28">
        <f>SUM(SUMIF($C:$C,"2",I:I))</f>
        <v>0</v>
      </c>
      <c r="J12" s="67">
        <f>SUM(SUMIF($C:$C,"2",J:J))</f>
        <v>0</v>
      </c>
      <c r="K12" s="67">
        <f>SUM(SUMIF($C:$C,"2",K:K))</f>
        <v>0</v>
      </c>
      <c r="L12" s="67">
        <f>SUM(SUMIF($C:$C,"2",L:L))</f>
        <v>0</v>
      </c>
      <c r="M12" s="67">
        <f>SUM(SUMIF($C:$C,"2",M:M))</f>
        <v>0</v>
      </c>
      <c r="N12" s="67">
        <f>SUM(SUMIF($C:$C,"2",N:N))</f>
        <v>0</v>
      </c>
      <c r="O12" s="67">
        <f>SUM(SUMIF($C:$C,"2",O:O))</f>
        <v>0</v>
      </c>
      <c r="P12" s="67">
        <f>SUM(SUMIF($C:$C,"2",P:P))</f>
        <v>0</v>
      </c>
      <c r="Q12" s="67">
        <f>SUM(SUMIF($C:$C,"2",Q:Q))</f>
        <v>0</v>
      </c>
      <c r="R12" s="67">
        <f>SUM(SUMIF($C:$C,"2",R:R))</f>
        <v>0</v>
      </c>
      <c r="S12" s="67">
        <f>SUM(SUMIF($C:$C,"2",S:S))</f>
        <v>0</v>
      </c>
      <c r="T12" s="67">
        <f>SUM(SUMIF($C:$C,"2",T:T))</f>
        <v>0</v>
      </c>
      <c r="U12" s="67">
        <f>SUM(SUMIF($C:$C,"2",U:U))</f>
        <v>0</v>
      </c>
      <c r="V12" s="67">
        <f>SUM(SUMIF($C:$C,"2",V:V))</f>
        <v>0</v>
      </c>
      <c r="W12" s="67">
        <f>SUM(SUMIF($C:$C,"2",W:W))</f>
        <v>0</v>
      </c>
      <c r="X12" s="76">
        <f>SUM(SUMIF($C:$C,"2",X:X))</f>
        <v>0</v>
      </c>
      <c r="Y12" s="67">
        <f>SUM(SUMIF($C:$C,"2",Y:Y))</f>
        <v>0</v>
      </c>
      <c r="Z12" s="67">
        <f>SUM(SUMIF($C:$C,"2",Z:Z))</f>
        <v>0</v>
      </c>
      <c r="AA12" s="76">
        <f>SUM(SUMIF($C:$C,"2",AA:AA))</f>
        <v>0</v>
      </c>
      <c r="AB12" s="67">
        <f>SUM(SUMIF($C:$C,"2",AB:AB))</f>
        <v>0</v>
      </c>
      <c r="AC12" s="67">
        <f>SUM(SUMIF($C:$C,"2",AC:AC))</f>
        <v>0</v>
      </c>
      <c r="AD12" s="67">
        <f>SUM(SUMIF($C:$C,"2",AD:AD))</f>
        <v>0</v>
      </c>
      <c r="AE12" s="44">
        <f>SUM(SUMIF($C:$C,"2",AE:AE))</f>
        <v>0</v>
      </c>
      <c r="AF12" s="44">
        <f>SUM(SUMIF($C:$C,"2",AF:AF))</f>
        <v>0</v>
      </c>
      <c r="AG12" s="44">
        <f>SUM(SUMIF($C:$C,"2",AG:AG))</f>
        <v>0</v>
      </c>
      <c r="AH12" s="44">
        <f>SUM(SUMIF($C:$C,"2",AH:AH))</f>
        <v>0</v>
      </c>
      <c r="AI12" s="67">
        <f>SUM(SUMIF($C:$C,"2",AI:AI))</f>
        <v>0</v>
      </c>
      <c r="AJ12" s="115"/>
      <c r="AK12" s="44">
        <f>SUM(SUMIF($C:$C,"2",AK:AK))</f>
        <v>0</v>
      </c>
      <c r="AL12" s="44">
        <f>SUM(SUMIF($C:$C,"2",AL:AL))</f>
        <v>0</v>
      </c>
      <c r="AM12" s="44">
        <f>SUM(SUMIF($C:$C,"2",AM:AM))</f>
        <v>0</v>
      </c>
      <c r="AN12" s="67">
        <f>SUM(SUMIF($C:$C,"2",AN:AN))</f>
        <v>0</v>
      </c>
      <c r="AO12" s="67">
        <f>SUM(SUMIF($C:$C,"2",AO:AO))</f>
        <v>0</v>
      </c>
      <c r="AP12" s="44">
        <f>SUM(SUMIF($C:$C,"2",AP:AP))</f>
        <v>0</v>
      </c>
      <c r="AQ12" s="126"/>
      <c r="AR12" s="67">
        <f>SUM(SUMIF($C:$C,"2",AR:AR))</f>
        <v>0</v>
      </c>
      <c r="AS12" s="67">
        <f>SUM(SUMIF($C:$C,"2",AS:AS))</f>
        <v>0</v>
      </c>
      <c r="AT12" s="67">
        <f>SUM(SUMIF($C:$C,"2",AT:AT))</f>
        <v>165</v>
      </c>
      <c r="AU12" s="28">
        <f>SUM(SUMIF($C:$C,"2",AU:AU))</f>
        <v>165</v>
      </c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</row>
    <row r="13" s="5" customFormat="1" ht="17" customHeight="1" spans="1:47">
      <c r="A13" s="29"/>
      <c r="B13" s="30" t="s">
        <v>60</v>
      </c>
      <c r="C13" s="31"/>
      <c r="D13" s="31"/>
      <c r="E13" s="31"/>
      <c r="F13" s="32"/>
      <c r="G13" s="28">
        <f>SUM(SUMIF($C:$C,"贫困",G:G))+SUM(SUMIF($C:$C,"深度贫困",G:G))</f>
        <v>1446335</v>
      </c>
      <c r="H13" s="28">
        <f>SUM(SUMIF($C:$C,"贫困",H:H))+SUM(SUMIF($C:$C,"深度贫困",H:H))</f>
        <v>0</v>
      </c>
      <c r="I13" s="28">
        <f>SUM(SUMIF($C:$C,"贫困",I:I))+SUM(SUMIF($C:$C,"深度贫困",I:I))</f>
        <v>0</v>
      </c>
      <c r="J13" s="67">
        <f>SUM(SUMIF($C:$C,"贫困",J:J))+SUM(SUMIF($C:$C,"深度贫困",J:J))</f>
        <v>6064235</v>
      </c>
      <c r="K13" s="67">
        <f>SUM(SUMIF($C:$C,"贫困",K:K))+SUM(SUMIF($C:$C,"深度贫困",K:K))</f>
        <v>4661835.6</v>
      </c>
      <c r="L13" s="67">
        <f>SUM(SUMIF($C:$C,"贫困",L:L))+SUM(SUMIF($C:$C,"深度贫困",L:L))</f>
        <v>0</v>
      </c>
      <c r="M13" s="67">
        <f>SUM(SUMIF($C:$C,"贫困",M:M))+SUM(SUMIF($C:$C,"深度贫困",M:M))</f>
        <v>198328.8</v>
      </c>
      <c r="N13" s="67">
        <f>SUM(SUMIF($C:$C,"贫困",N:N))+SUM(SUMIF($C:$C,"深度贫困",N:N))</f>
        <v>843038.4</v>
      </c>
      <c r="O13" s="67">
        <f>SUM(SUMIF($C:$C,"贫困",O:O))+SUM(SUMIF($C:$C,"深度贫困",O:O))</f>
        <v>2171522.4</v>
      </c>
      <c r="P13" s="67">
        <f>SUM(SUMIF($C:$C,"贫困",P:P))+SUM(SUMIF($C:$C,"深度贫困",P:P))</f>
        <v>1448946</v>
      </c>
      <c r="Q13" s="67">
        <f>SUM(SUMIF($C:$C,"贫困",Q:Q))+SUM(SUMIF($C:$C,"深度贫困",Q:Q))</f>
        <v>765492</v>
      </c>
      <c r="R13" s="67">
        <f>SUM(SUMIF($C:$C,"贫困",R:R))+SUM(SUMIF($C:$C,"深度贫困",R:R))</f>
        <v>951493</v>
      </c>
      <c r="S13" s="67">
        <f>SUM(SUMIF($C:$C,"贫困",S:S))+SUM(SUMIF($C:$C,"深度贫困",S:S))</f>
        <v>900961.2</v>
      </c>
      <c r="T13" s="67">
        <f>SUM(SUMIF($C:$C,"贫困",T:T))+SUM(SUMIF($C:$C,"深度贫困",T:T))</f>
        <v>894</v>
      </c>
      <c r="U13" s="67">
        <f>SUM(SUMIF($C:$C,"贫困",U:U))+SUM(SUMIF($C:$C,"深度贫困",U:U))</f>
        <v>26373</v>
      </c>
      <c r="V13" s="67">
        <f>SUM(SUMIF($C:$C,"贫困",V:V))+SUM(SUMIF($C:$C,"深度贫困",V:V))</f>
        <v>126435.2</v>
      </c>
      <c r="W13" s="67">
        <f>SUM(SUMIF($C:$C,"贫困",W:W))+SUM(SUMIF($C:$C,"深度贫困",W:W))</f>
        <v>747259</v>
      </c>
      <c r="X13" s="44">
        <f>SUM(SUMIF($C:$C,"贫困",X:X))+SUM(SUMIF($C:$C,"深度贫困",X:X))</f>
        <v>363207.713400906</v>
      </c>
      <c r="Y13" s="67"/>
      <c r="Z13" s="67">
        <f>SUM(SUMIF($C:$C,"贫困",Z:Z))+SUM(SUMIF($C:$C,"深度贫困",Z:Z))</f>
        <v>18.0567644276254</v>
      </c>
      <c r="AA13" s="44">
        <f>SUM(SUMIF($C:$C,"贫困",AA:AA))+SUM(SUMIF($C:$C,"深度贫困",AA:AA))</f>
        <v>250986.6</v>
      </c>
      <c r="AB13" s="67">
        <f>SUM(SUMIF($C:$C,"贫困",AB:AB))+SUM(SUMIF($C:$C,"深度贫困",AB:AB))</f>
        <v>324</v>
      </c>
      <c r="AC13" s="67">
        <f>SUM(SUMIF($C:$C,"贫困",AC:AC))+SUM(SUMIF($C:$C,"深度贫困",AC:AC))</f>
        <v>108716.120855615</v>
      </c>
      <c r="AD13" s="67">
        <f>SUM(SUMIF($C:$C,"贫困",AD:AD))+SUM(SUMIF($C:$C,"深度贫困",AD:AD))</f>
        <v>48600</v>
      </c>
      <c r="AE13" s="44">
        <f>SUM(SUMIF($C:$C,"贫困",AE:AE))+SUM(SUMIF($C:$C,"深度贫困",AE:AE))</f>
        <v>3577245.8</v>
      </c>
      <c r="AF13" s="44">
        <f>SUM(SUMIF($C:$C,"贫困",AF:AF))+SUM(SUMIF($C:$C,"深度贫困",AF:AF))</f>
        <v>372626.55</v>
      </c>
      <c r="AG13" s="44">
        <f>SUM(SUMIF($C:$C,"贫困",AG:AG))+SUM(SUMIF($C:$C,"深度贫困",AG:AG))</f>
        <v>689</v>
      </c>
      <c r="AH13" s="44">
        <f>SUM(SUMIF($C:$C,"贫困",AH:AH))+SUM(SUMIF($C:$C,"深度贫困",AH:AH))</f>
        <v>6910.73219658977</v>
      </c>
      <c r="AI13" s="67">
        <f>SUM(SUMIF($C:$C,"贫困",AI:AI))+SUM(SUMIF($C:$C,"深度贫困",AI:AI))</f>
        <v>8000</v>
      </c>
      <c r="AJ13" s="115"/>
      <c r="AK13" s="44">
        <f>SUM(SUMIF($C:$C,"贫困",AK:AK))+SUM(SUMIF($C:$C,"深度贫困",AK:AK))</f>
        <v>20515.504787387</v>
      </c>
      <c r="AL13" s="44">
        <f>SUM(SUMIF($C:$C,"贫困",AL:AL))+SUM(SUMIF($C:$C,"深度贫困",AL:AL))</f>
        <v>7969.38</v>
      </c>
      <c r="AM13" s="44">
        <f>SUM(SUMIF($C:$C,"贫困",AM:AM))+SUM(SUMIF($C:$C,"深度贫困",AM:AM))</f>
        <v>22188.5340481885</v>
      </c>
      <c r="AN13" s="67">
        <f>SUM(SUMIF($C:$C,"贫困",AN:AN))+SUM(SUMIF($C:$C,"深度贫困",AN:AN))</f>
        <v>1201758</v>
      </c>
      <c r="AO13" s="127" t="e">
        <f>SUM(SUMIF($C:$C,"贫困",AO:AO))+SUM(SUMIF($C:$C,"深度贫困",AO:AO))</f>
        <v>#REF!</v>
      </c>
      <c r="AP13" s="127" t="e">
        <f t="shared" si="0"/>
        <v>#REF!</v>
      </c>
      <c r="AQ13" s="126" t="e">
        <f t="shared" si="1"/>
        <v>#REF!</v>
      </c>
      <c r="AR13" s="67">
        <f>SUM(SUMIF($C:$C,"贫困",AR:AR))+SUM(SUMIF($C:$C,"深度贫困",AR:AR))</f>
        <v>29934</v>
      </c>
      <c r="AS13" s="67">
        <f>SUM(SUMIF($C:$C,"贫困",AS:AS))+SUM(SUMIF($C:$C,"深度贫困",AS:AS))</f>
        <v>2478</v>
      </c>
      <c r="AT13" s="67">
        <f>SUM(SUMIF($C:$C,"贫困",AT:AT))+SUM(SUMIF($C:$C,"深度贫困",AT:AT))</f>
        <v>2264</v>
      </c>
      <c r="AU13" s="28">
        <f>SUM(SUMIF($C:$C,"贫困",AU:AU))+SUM(SUMIF($C:$C,"深度贫困",AU:AU))</f>
        <v>1236434</v>
      </c>
    </row>
    <row r="14" ht="17" customHeight="1" spans="1:47">
      <c r="A14" s="29"/>
      <c r="B14" s="30" t="s">
        <v>62</v>
      </c>
      <c r="C14" s="31"/>
      <c r="D14" s="31"/>
      <c r="E14" s="31"/>
      <c r="F14" s="32"/>
      <c r="G14" s="28">
        <f>SUM(SUMIF($C:$C,"非贫困县",G:G))</f>
        <v>110204</v>
      </c>
      <c r="H14" s="28">
        <f>SUM(SUMIF($C:$C,"非贫困县",H:H))</f>
        <v>0</v>
      </c>
      <c r="I14" s="28">
        <f>SUM(SUMIF($C:$C,"非贫困县",I:I))</f>
        <v>0</v>
      </c>
      <c r="J14" s="67">
        <f>SUM(SUMIF($C:$C,"非贫困县",J:J))</f>
        <v>588758</v>
      </c>
      <c r="K14" s="67">
        <f>SUM(SUMIF($C:$C,"非贫困县",K:K))</f>
        <v>117751.6</v>
      </c>
      <c r="L14" s="67">
        <f>SUM(SUMIF($C:$C,"非贫困县",L:L))</f>
        <v>117751.6</v>
      </c>
      <c r="M14" s="67">
        <f>SUM(SUMIF($C:$C,"非贫困县",M:M))</f>
        <v>0</v>
      </c>
      <c r="N14" s="67">
        <f>SUM(SUMIF($C:$C,"非贫困县",N:N))</f>
        <v>0</v>
      </c>
      <c r="O14" s="67">
        <f>SUM(SUMIF($C:$C,"非贫困县",O:O))</f>
        <v>0</v>
      </c>
      <c r="P14" s="67">
        <f>SUM(SUMIF($C:$C,"非贫困县",P:P))</f>
        <v>0</v>
      </c>
      <c r="Q14" s="67">
        <f>SUM(SUMIF($C:$C,"非贫困县",Q:Q))</f>
        <v>67456</v>
      </c>
      <c r="R14" s="67">
        <f>SUM(SUMIF($C:$C,"非贫困县",R:R))</f>
        <v>44624</v>
      </c>
      <c r="S14" s="67">
        <f>SUM(SUMIF($C:$C,"非贫困县",S:S))</f>
        <v>29774.4</v>
      </c>
      <c r="T14" s="67">
        <f>SUM(SUMIF($C:$C,"非贫困县",T:T))</f>
        <v>2144</v>
      </c>
      <c r="U14" s="67">
        <f>SUM(SUMIF($C:$C,"非贫困县",U:U))</f>
        <v>11342.4</v>
      </c>
      <c r="V14" s="67">
        <f>SUM(SUMIF($C:$C,"非贫困县",V:V))</f>
        <v>16288</v>
      </c>
      <c r="W14" s="67">
        <f>SUM(SUMIF($C:$C,"非贫困县",W:W))</f>
        <v>0</v>
      </c>
      <c r="X14" s="44">
        <f>SUM(SUMIF($C:$C,"非贫困县",X:X))</f>
        <v>13272.186599094</v>
      </c>
      <c r="Y14" s="67"/>
      <c r="Z14" s="67">
        <f>SUM(SUMIF($C:$C,"非贫困县",Z:Z))</f>
        <v>0</v>
      </c>
      <c r="AA14" s="44">
        <f>SUM(SUMIF($C:$C,"非贫困县",AA:AA))</f>
        <v>0</v>
      </c>
      <c r="AB14" s="67">
        <f>SUM(SUMIF($C:$C,"非贫困县",AB:AB))</f>
        <v>50</v>
      </c>
      <c r="AC14" s="67">
        <f>SUM(SUMIF($C:$C,"非贫困县",AC:AC))</f>
        <v>16777.179144385</v>
      </c>
      <c r="AD14" s="67">
        <f>SUM(SUMIF($C:$C,"非贫困县",AD:AD))</f>
        <v>0</v>
      </c>
      <c r="AE14" s="44">
        <f>SUM(SUMIF($C:$C,"非贫困县",AE:AE))</f>
        <v>0</v>
      </c>
      <c r="AF14" s="44">
        <f>SUM(SUMIF($C:$C,"非贫困县",AF:AF))</f>
        <v>0</v>
      </c>
      <c r="AG14" s="44">
        <f>SUM(SUMIF($C:$C,"非贫困县",AG:AG))</f>
        <v>308</v>
      </c>
      <c r="AH14" s="44">
        <f>SUM(SUMIF($C:$C,"非贫困县",AH:AH))</f>
        <v>3089.26780341023</v>
      </c>
      <c r="AI14" s="67">
        <f>SUM(SUMIF($C:$C,"非贫困县",AI:AI))</f>
        <v>0</v>
      </c>
      <c r="AJ14" s="115"/>
      <c r="AK14" s="44">
        <f>SUM(SUMIF($C:$C,"非贫困县",AK:AK))</f>
        <v>10857.820212613</v>
      </c>
      <c r="AL14" s="44">
        <f>SUM(SUMIF($C:$C,"非贫困县",AL:AL))</f>
        <v>3298.87</v>
      </c>
      <c r="AM14" s="44">
        <f>SUM(SUMIF($C:$C,"非贫困县",AM:AM))</f>
        <v>9184.79095181151</v>
      </c>
      <c r="AN14" s="67">
        <f>SUM(SUMIF($C:$C,"非贫困县",AN:AN))</f>
        <v>53181</v>
      </c>
      <c r="AO14" s="127" t="e">
        <f>SUM(SUMIF($C:$C,"非贫困县",AO:AO))</f>
        <v>#REF!</v>
      </c>
      <c r="AP14" s="127" t="e">
        <f t="shared" si="0"/>
        <v>#REF!</v>
      </c>
      <c r="AQ14" s="126" t="e">
        <f t="shared" si="1"/>
        <v>#REF!</v>
      </c>
      <c r="AR14" s="67">
        <f>SUM(SUMIF($C:$C,"非贫困县",AR:AR))</f>
        <v>1646</v>
      </c>
      <c r="AS14" s="67">
        <f>SUM(SUMIF($C:$C,"非贫困县",AS:AS))</f>
        <v>559</v>
      </c>
      <c r="AT14" s="67">
        <f>SUM(SUMIF($C:$C,"非贫困县",AT:AT))</f>
        <v>469</v>
      </c>
      <c r="AU14" s="28">
        <f>SUM(SUMIF($C:$C,"非贫困县",AU:AU))</f>
        <v>55855</v>
      </c>
    </row>
    <row r="15" s="5" customFormat="1" ht="17" customHeight="1" spans="1:47">
      <c r="A15" s="29"/>
      <c r="B15" s="30" t="s">
        <v>64</v>
      </c>
      <c r="C15" s="31"/>
      <c r="D15" s="31"/>
      <c r="E15" s="31"/>
      <c r="F15" s="32"/>
      <c r="G15" s="28">
        <f>SUM(SUMIF($E:$E,"国家",G:G))+SUM(SUMIF($E:$E,"省级",G:G))</f>
        <v>1256057</v>
      </c>
      <c r="H15" s="28">
        <f>SUM(SUMIF($E:$E,"国家",H:H))+SUM(SUMIF($E:$E,"省级",H:H))</f>
        <v>0</v>
      </c>
      <c r="I15" s="28">
        <f>SUM(SUMIF($E:$E,"国家",I:I))+SUM(SUMIF($E:$E,"省级",I:I))</f>
        <v>0</v>
      </c>
      <c r="J15" s="67">
        <f>SUM(SUMIF($E:$E,"国家",J:J))+SUM(SUMIF($E:$E,"省级",J:J))</f>
        <v>4934288</v>
      </c>
      <c r="K15" s="67">
        <f>SUM(SUMIF($E:$E,"国家",K:K))+SUM(SUMIF($E:$E,"省级",K:K))</f>
        <v>4018602.2</v>
      </c>
      <c r="L15" s="67">
        <f>SUM(SUMIF($E:$E,"国家",L:L))+SUM(SUMIF($E:$E,"省级",L:L))</f>
        <v>0</v>
      </c>
      <c r="M15" s="67">
        <f>SUM(SUMIF($E:$E,"国家",M:M))+SUM(SUMIF($E:$E,"省级",M:M))</f>
        <v>71812.4</v>
      </c>
      <c r="N15" s="67">
        <f>SUM(SUMIF($E:$E,"国家",N:N))+SUM(SUMIF($E:$E,"省级",N:N))</f>
        <v>440415</v>
      </c>
      <c r="O15" s="67">
        <f>SUM(SUMIF($E:$E,"国家",O:O))+SUM(SUMIF($E:$E,"省级",O:O))</f>
        <v>2057428.8</v>
      </c>
      <c r="P15" s="67">
        <f>SUM(SUMIF($E:$E,"国家",P:P))+SUM(SUMIF($E:$E,"省级",P:P))</f>
        <v>1448946</v>
      </c>
      <c r="Q15" s="67">
        <f>SUM(SUMIF($E:$E,"国家",Q:Q))+SUM(SUMIF($E:$E,"省级",Q:Q))</f>
        <v>621151</v>
      </c>
      <c r="R15" s="67">
        <f>SUM(SUMIF($E:$E,"国家",R:R))+SUM(SUMIF($E:$E,"省级",R:R))</f>
        <v>802791</v>
      </c>
      <c r="S15" s="67">
        <f>SUM(SUMIF($E:$E,"国家",S:S))+SUM(SUMIF($E:$E,"省级",S:S))</f>
        <v>773026.6</v>
      </c>
      <c r="T15" s="67">
        <f>SUM(SUMIF($E:$E,"国家",T:T))+SUM(SUMIF($E:$E,"省级",T:T))</f>
        <v>351.2</v>
      </c>
      <c r="U15" s="67">
        <f>SUM(SUMIF($E:$E,"国家",U:U))+SUM(SUMIF($E:$E,"省级",U:U))</f>
        <v>12136.8</v>
      </c>
      <c r="V15" s="67">
        <f>SUM(SUMIF($E:$E,"国家",V:V))+SUM(SUMIF($E:$E,"省级",V:V))</f>
        <v>84585.6</v>
      </c>
      <c r="W15" s="67">
        <f>SUM(SUMIF($E:$E,"国家",W:W))+SUM(SUMIF($E:$E,"省级",W:W))</f>
        <v>675953</v>
      </c>
      <c r="X15" s="44">
        <f>SUM(SUMIF($E:$E,"国家",X:X))+SUM(SUMIF($E:$E,"省级",X:X))</f>
        <v>309931.92925325</v>
      </c>
      <c r="Y15" s="67">
        <f>SUM(SUMIF($E:$E,"国家",Y:Y))+SUM(SUMIF($E:$E,"省级",Y:Y))</f>
        <v>644702</v>
      </c>
      <c r="Z15" s="67">
        <f>SUM(SUMIF($E:$E,"国家",Z:Z))+SUM(SUMIF($E:$E,"省级",Z:Z))</f>
        <v>17.3044465468307</v>
      </c>
      <c r="AA15" s="44">
        <f>SUM(SUMIF($E:$E,"国家",AA:AA))+SUM(SUMIF($E:$E,"省级",AA:AA))</f>
        <v>240529.482514932</v>
      </c>
      <c r="AB15" s="67">
        <f>SUM(SUMIF($E:$E,"国家",AB:AB))+SUM(SUMIF($E:$E,"省级",AB:AB))</f>
        <v>251</v>
      </c>
      <c r="AC15" s="67">
        <f>SUM(SUMIF($E:$E,"国家",AC:AC))+SUM(SUMIF($E:$E,"省级",AC:AC))</f>
        <v>84221.4393048128</v>
      </c>
      <c r="AD15" s="67">
        <f>SUM(SUMIF($E:$E,"国家",AD:AD))+SUM(SUMIF($E:$E,"省级",AD:AD))</f>
        <v>48600</v>
      </c>
      <c r="AE15" s="44">
        <f>SUM(SUMIF($E:$E,"国家",AE:AE))+SUM(SUMIF($E:$E,"省级",AE:AE))</f>
        <v>3577245.8</v>
      </c>
      <c r="AF15" s="44">
        <f>SUM(SUMIF($E:$E,"国家",AF:AF))+SUM(SUMIF($E:$E,"省级",AF:AF))</f>
        <v>372626.55</v>
      </c>
      <c r="AG15" s="44">
        <f>SUM(SUMIF($E:$E,"国家",AG:AG))+SUM(SUMIF($E:$E,"省级",AG:AG))</f>
        <v>478</v>
      </c>
      <c r="AH15" s="44">
        <f>SUM(SUMIF($E:$E,"国家",AH:AH))+SUM(SUMIF($E:$E,"省级",AH:AH))</f>
        <v>4794.38314944834</v>
      </c>
      <c r="AI15" s="67">
        <f>SUM(SUMIF($E:$E,"国家",AI:AI))+SUM(SUMIF($E:$E,"省级",AI:AI))</f>
        <v>0</v>
      </c>
      <c r="AJ15" s="115"/>
      <c r="AK15" s="44">
        <f>SUM(SUMIF($E:$E,"国家",AK:AK))+SUM(SUMIF($E:$E,"省级",AK:AK))</f>
        <v>13344.0658614432</v>
      </c>
      <c r="AL15" s="44">
        <f>SUM(SUMIF($E:$E,"国家",AL:AL))+SUM(SUMIF($E:$E,"省级",AL:AL))</f>
        <v>5129.96</v>
      </c>
      <c r="AM15" s="44">
        <f>SUM(SUMIF($E:$E,"国家",AM:AM))+SUM(SUMIF($E:$E,"省级",AM:AM))</f>
        <v>14282.9545241719</v>
      </c>
      <c r="AN15" s="67">
        <f>SUM(SUMIF($E:$E,"国家",AN:AN))+SUM(SUMIF($E:$E,"省级",AN:AN))</f>
        <v>1088331</v>
      </c>
      <c r="AO15" s="127" t="e">
        <f>SUM(SUMIF($E:$E,"国家",AO:AO))+SUM(SUMIF($E:$E,"省级",AO:AO))</f>
        <v>#REF!</v>
      </c>
      <c r="AP15" s="127" t="e">
        <f>SUM(SUMIF($E:$E,"国家",AP:AP))+SUM(SUMIF($E:$E,"省级",AP:AP))</f>
        <v>#REF!</v>
      </c>
      <c r="AQ15" s="126" t="e">
        <f t="shared" si="1"/>
        <v>#REF!</v>
      </c>
      <c r="AR15" s="67">
        <f>SUM(SUMIF($D:$D,"国家",AR:AR))+SUM(SUMIF($D:$D,"省级",AR:AR))</f>
        <v>0</v>
      </c>
      <c r="AS15" s="67">
        <f>SUM(SUMIF($D:$D,"国家",AS:AS))+SUM(SUMIF($D:$D,"省级",AS:AS))</f>
        <v>0</v>
      </c>
      <c r="AT15" s="67">
        <f>SUM(SUMIF($D:$D,"国家",AT:AT))+SUM(SUMIF($D:$D,"省级",AT:AT))</f>
        <v>0</v>
      </c>
      <c r="AU15" s="28">
        <f>SUM(SUMIF($E:$E,"国家",AU:AU))+SUM(SUMIF($E:$E,"省级",AU:AU))</f>
        <v>1113586</v>
      </c>
    </row>
    <row r="16" s="5" customFormat="1" ht="17" customHeight="1" spans="1:47">
      <c r="A16" s="29"/>
      <c r="B16" s="30" t="s">
        <v>66</v>
      </c>
      <c r="C16" s="31"/>
      <c r="D16" s="31"/>
      <c r="E16" s="31"/>
      <c r="F16" s="32"/>
      <c r="G16" s="28">
        <f>SUM(SUMIF($E:$E,"国家",G:G))</f>
        <v>903371</v>
      </c>
      <c r="H16" s="28">
        <f>SUM(SUMIF($E:$E,"国家",H:H))</f>
        <v>0</v>
      </c>
      <c r="I16" s="28">
        <f>SUM(SUMIF($E:$E,"国家",I:I))</f>
        <v>0</v>
      </c>
      <c r="J16" s="67">
        <f>SUM(SUMIF($E:$E,"国家",J:J))</f>
        <v>3329899</v>
      </c>
      <c r="K16" s="67">
        <f>SUM(SUMIF($E:$E,"国家",K:K))</f>
        <v>2915211.2</v>
      </c>
      <c r="L16" s="67">
        <f>SUM(SUMIF($E:$E,"国家",L:L))</f>
        <v>0</v>
      </c>
      <c r="M16" s="67">
        <f>SUM(SUMIF($E:$E,"国家",M:M))</f>
        <v>0</v>
      </c>
      <c r="N16" s="67">
        <f>SUM(SUMIF($E:$E,"国家",N:N))</f>
        <v>73326.6</v>
      </c>
      <c r="O16" s="67">
        <f>SUM(SUMIF($E:$E,"国家",O:O))</f>
        <v>1463213.6</v>
      </c>
      <c r="P16" s="67">
        <f>SUM(SUMIF($E:$E,"国家",P:P))</f>
        <v>1378671</v>
      </c>
      <c r="Q16" s="67">
        <f>SUM(SUMIF($E:$E,"国家",Q:Q))</f>
        <v>449822</v>
      </c>
      <c r="R16" s="67">
        <f>SUM(SUMIF($E:$E,"国家",R:R))</f>
        <v>648468</v>
      </c>
      <c r="S16" s="67">
        <f>SUM(SUMIF($E:$E,"国家",S:S))</f>
        <v>640225.8</v>
      </c>
      <c r="T16" s="67">
        <f>SUM(SUMIF($E:$E,"国家",T:T))</f>
        <v>0</v>
      </c>
      <c r="U16" s="67">
        <f>SUM(SUMIF($E:$E,"国家",U:U))</f>
        <v>1392.6</v>
      </c>
      <c r="V16" s="67">
        <f>SUM(SUMIF($E:$E,"国家",V:V))</f>
        <v>29255.2</v>
      </c>
      <c r="W16" s="67">
        <f>SUM(SUMIF($E:$E,"国家",W:W))</f>
        <v>609578</v>
      </c>
      <c r="X16" s="44">
        <f>SUM(SUMIF($E:$E,"国家",X:X))</f>
        <v>230131.172279786</v>
      </c>
      <c r="Y16" s="67">
        <f>SUM(SUMIF($E:$E,"国家",Y:Y))</f>
        <v>286175</v>
      </c>
      <c r="Z16" s="67">
        <f>SUM(SUMIF($E:$E,"国家",Z:Z))</f>
        <v>11.7614001892148</v>
      </c>
      <c r="AA16" s="44">
        <f>SUM(SUMIF($E:$E,"国家",AA:AA))</f>
        <v>163481.882734989</v>
      </c>
      <c r="AB16" s="67">
        <f>SUM(SUMIF($E:$E,"国家",AB:AB))</f>
        <v>133</v>
      </c>
      <c r="AC16" s="67">
        <f>SUM(SUMIF($E:$E,"国家",AC:AC))</f>
        <v>44627.2965240642</v>
      </c>
      <c r="AD16" s="67">
        <f>SUM(SUMIF($E:$E,"国家",AD:AD))</f>
        <v>48600</v>
      </c>
      <c r="AE16" s="44">
        <f>SUM(SUMIF($E:$E,"国家",AE:AE))</f>
        <v>2915211.2</v>
      </c>
      <c r="AF16" s="44">
        <f>SUM(SUMIF($E:$E,"国家",AF:AF))</f>
        <v>303665.20857397</v>
      </c>
      <c r="AG16" s="44">
        <f>SUM(SUMIF($E:$E,"国家",AG:AG))</f>
        <v>249</v>
      </c>
      <c r="AH16" s="44">
        <f>SUM(SUMIF($E:$E,"国家",AH:AH))</f>
        <v>2497.4924774323</v>
      </c>
      <c r="AI16" s="67">
        <f>SUM(SUMIF($E:$E,"国家",AI:AI))</f>
        <v>0</v>
      </c>
      <c r="AJ16" s="115"/>
      <c r="AK16" s="44">
        <f>SUM(SUMIF($E:$E,"国家",AK:AK))</f>
        <v>6684.52025544719</v>
      </c>
      <c r="AL16" s="44">
        <f>SUM(SUMIF($E:$E,"国家",AL:AL))</f>
        <v>2400.46</v>
      </c>
      <c r="AM16" s="44">
        <f>SUM(SUMIF($E:$E,"国家",AM:AM))</f>
        <v>6683.41683309298</v>
      </c>
      <c r="AN16" s="67">
        <f>SUM(SUMIF($E:$E,"国家",AN:AN))</f>
        <v>806369</v>
      </c>
      <c r="AO16" s="127" t="e">
        <f>SUM(SUMIF($E:$E,"国家",AO:AO))</f>
        <v>#REF!</v>
      </c>
      <c r="AP16" s="127" t="e">
        <f>SUM(SUMIF($E:$E,"国家",AP:AP))</f>
        <v>#REF!</v>
      </c>
      <c r="AQ16" s="126" t="e">
        <f t="shared" si="1"/>
        <v>#REF!</v>
      </c>
      <c r="AR16" s="67">
        <f>SUM(SUMIF($D:$D,"国家",AR:AR))</f>
        <v>0</v>
      </c>
      <c r="AS16" s="67">
        <f>SUM(SUMIF($D:$D,"国家",AS:AS))</f>
        <v>0</v>
      </c>
      <c r="AT16" s="67">
        <f>SUM(SUMIF($D:$D,"国家",AT:AT))</f>
        <v>0</v>
      </c>
      <c r="AU16" s="28">
        <f>SUM(SUMIF($E:$E,"国家",AU:AU))</f>
        <v>818930</v>
      </c>
    </row>
    <row r="17" s="5" customFormat="1" ht="17" customHeight="1" spans="1:47">
      <c r="A17" s="29"/>
      <c r="B17" s="30" t="s">
        <v>68</v>
      </c>
      <c r="C17" s="31"/>
      <c r="D17" s="31"/>
      <c r="E17" s="31"/>
      <c r="F17" s="32"/>
      <c r="G17" s="28">
        <f>SUM(SUMIF($E:$E,"省级",G:G))</f>
        <v>352686</v>
      </c>
      <c r="H17" s="28">
        <f>SUM(SUMIF($E:$E,"省级",H:H))</f>
        <v>0</v>
      </c>
      <c r="I17" s="28">
        <f>SUM(SUMIF($E:$E,"省级",I:I))</f>
        <v>0</v>
      </c>
      <c r="J17" s="67">
        <f>SUM(SUMIF($E:$E,"省级",J:J))</f>
        <v>1604389</v>
      </c>
      <c r="K17" s="67">
        <f>SUM(SUMIF($E:$E,"省级",K:K))</f>
        <v>1103391</v>
      </c>
      <c r="L17" s="67">
        <f>SUM(SUMIF($E:$E,"省级",L:L))</f>
        <v>0</v>
      </c>
      <c r="M17" s="67">
        <f>SUM(SUMIF($E:$E,"省级",M:M))</f>
        <v>71812.4</v>
      </c>
      <c r="N17" s="67">
        <f>SUM(SUMIF($E:$E,"省级",N:N))</f>
        <v>367088.4</v>
      </c>
      <c r="O17" s="67">
        <f>SUM(SUMIF($E:$E,"省级",O:O))</f>
        <v>594215.2</v>
      </c>
      <c r="P17" s="67">
        <f>SUM(SUMIF($E:$E,"省级",P:P))</f>
        <v>70275</v>
      </c>
      <c r="Q17" s="67">
        <f>SUM(SUMIF($E:$E,"省级",Q:Q))</f>
        <v>171329</v>
      </c>
      <c r="R17" s="67">
        <f>SUM(SUMIF($E:$E,"省级",R:R))</f>
        <v>154323</v>
      </c>
      <c r="S17" s="67">
        <f>SUM(SUMIF($E:$E,"省级",S:S))</f>
        <v>132800.8</v>
      </c>
      <c r="T17" s="67">
        <f>SUM(SUMIF($E:$E,"省级",T:T))</f>
        <v>351.2</v>
      </c>
      <c r="U17" s="67">
        <f>SUM(SUMIF($E:$E,"省级",U:U))</f>
        <v>10744.2</v>
      </c>
      <c r="V17" s="67">
        <f>SUM(SUMIF($E:$E,"省级",V:V))</f>
        <v>55330.4</v>
      </c>
      <c r="W17" s="67">
        <f>SUM(SUMIF($E:$E,"省级",W:W))</f>
        <v>66375</v>
      </c>
      <c r="X17" s="44">
        <f>SUM(SUMIF($E:$E,"省级",X:X))</f>
        <v>79800.7569734638</v>
      </c>
      <c r="Y17" s="67">
        <f>SUM(SUMIF($E:$E,"省级",Y:Y))</f>
        <v>358527</v>
      </c>
      <c r="Z17" s="67">
        <f>SUM(SUMIF($E:$E,"省级",Z:Z))</f>
        <v>5.54304635761589</v>
      </c>
      <c r="AA17" s="44">
        <f>SUM(SUMIF($E:$E,"省级",AA:AA))</f>
        <v>77047.5997799434</v>
      </c>
      <c r="AB17" s="67">
        <f>SUM(SUMIF($E:$E,"省级",AB:AB))</f>
        <v>118</v>
      </c>
      <c r="AC17" s="67">
        <f>SUM(SUMIF($E:$E,"省级",AC:AC))</f>
        <v>39594.1427807487</v>
      </c>
      <c r="AD17" s="67">
        <f>SUM(SUMIF($E:$E,"省级",AD:AD))</f>
        <v>0</v>
      </c>
      <c r="AE17" s="44">
        <f>SUM(SUMIF($E:$E,"省级",AE:AE))</f>
        <v>662034.6</v>
      </c>
      <c r="AF17" s="44">
        <f>SUM(SUMIF($E:$E,"省级",AF:AF))</f>
        <v>68961.3414260295</v>
      </c>
      <c r="AG17" s="44">
        <f>SUM(SUMIF($E:$E,"省级",AG:AG))</f>
        <v>229</v>
      </c>
      <c r="AH17" s="44">
        <f>SUM(SUMIF($E:$E,"省级",AH:AH))</f>
        <v>2296.89067201605</v>
      </c>
      <c r="AI17" s="67">
        <f>SUM(SUMIF($E:$E,"省级",AI:AI))</f>
        <v>0</v>
      </c>
      <c r="AJ17" s="115"/>
      <c r="AK17" s="44">
        <f>SUM(SUMIF($E:$E,"省级",AK:AK))</f>
        <v>6659.54560599605</v>
      </c>
      <c r="AL17" s="44">
        <f>SUM(SUMIF($E:$E,"省级",AL:AL))</f>
        <v>2729.5</v>
      </c>
      <c r="AM17" s="44">
        <f>SUM(SUMIF($E:$E,"省级",AM:AM))</f>
        <v>7599.53769107892</v>
      </c>
      <c r="AN17" s="67">
        <f>SUM(SUMIF($E:$E,"省级",AN:AN))</f>
        <v>281962</v>
      </c>
      <c r="AO17" s="127" t="e">
        <f>SUM(SUMIF($E:$E,"省级",AO:AO))</f>
        <v>#REF!</v>
      </c>
      <c r="AP17" s="127" t="e">
        <f>SUM(SUMIF($E:$E,"省级",AP:AP))</f>
        <v>#REF!</v>
      </c>
      <c r="AQ17" s="126" t="e">
        <f t="shared" si="1"/>
        <v>#REF!</v>
      </c>
      <c r="AR17" s="67">
        <f>SUM(SUMIF($D:$D,"省级",AR:AR))</f>
        <v>0</v>
      </c>
      <c r="AS17" s="67">
        <f>SUM(SUMIF($D:$D,"省级",AS:AS))</f>
        <v>0</v>
      </c>
      <c r="AT17" s="67">
        <f>SUM(SUMIF($D:$D,"省级",AT:AT))</f>
        <v>0</v>
      </c>
      <c r="AU17" s="28">
        <f>SUM(SUMIF($E:$E,"省级",AU:AU))</f>
        <v>294656</v>
      </c>
    </row>
    <row r="18" s="5" customFormat="1" ht="17" customHeight="1" spans="1:47">
      <c r="A18" s="29"/>
      <c r="B18" s="30" t="s">
        <v>70</v>
      </c>
      <c r="C18" s="31"/>
      <c r="D18" s="31"/>
      <c r="E18" s="31"/>
      <c r="F18" s="32"/>
      <c r="G18" s="28">
        <f t="shared" ref="G18:I18" si="2">SUM(SUMIF($F:$F,"是",G:G))</f>
        <v>339869</v>
      </c>
      <c r="H18" s="28">
        <f t="shared" si="2"/>
        <v>0</v>
      </c>
      <c r="I18" s="28">
        <f t="shared" si="2"/>
        <v>0</v>
      </c>
      <c r="J18" s="67">
        <f t="shared" ref="J18:AH18" si="3">SUM(SUMIF($F:$F,"是",J:J))</f>
        <v>1247069</v>
      </c>
      <c r="K18" s="67">
        <f t="shared" si="3"/>
        <v>927342.6</v>
      </c>
      <c r="L18" s="67">
        <f t="shared" si="3"/>
        <v>17309.6</v>
      </c>
      <c r="M18" s="67">
        <f t="shared" si="3"/>
        <v>19292.8</v>
      </c>
      <c r="N18" s="67">
        <f t="shared" si="3"/>
        <v>189571.8</v>
      </c>
      <c r="O18" s="67">
        <f t="shared" si="3"/>
        <v>380670.4</v>
      </c>
      <c r="P18" s="67">
        <f t="shared" si="3"/>
        <v>320498</v>
      </c>
      <c r="Q18" s="67">
        <f t="shared" si="3"/>
        <v>164491</v>
      </c>
      <c r="R18" s="67">
        <f t="shared" si="3"/>
        <v>162681</v>
      </c>
      <c r="S18" s="67">
        <f t="shared" si="3"/>
        <v>149996.8</v>
      </c>
      <c r="T18" s="67">
        <f t="shared" si="3"/>
        <v>684.8</v>
      </c>
      <c r="U18" s="67">
        <f t="shared" si="3"/>
        <v>1669.2</v>
      </c>
      <c r="V18" s="67">
        <f t="shared" si="3"/>
        <v>42176.8</v>
      </c>
      <c r="W18" s="67">
        <f t="shared" ref="W18:AA18" si="4">SUM(SUMIF($F:$F,"是",W:W))</f>
        <v>105466</v>
      </c>
      <c r="X18" s="44">
        <f t="shared" si="4"/>
        <v>71200.2463583588</v>
      </c>
      <c r="Y18" s="67">
        <f t="shared" si="4"/>
        <v>303154</v>
      </c>
      <c r="Z18" s="67">
        <f t="shared" si="4"/>
        <v>5.49877010406812</v>
      </c>
      <c r="AA18" s="44">
        <f t="shared" si="4"/>
        <v>76432.1658032065</v>
      </c>
      <c r="AB18" s="67">
        <f t="shared" ref="AB18:AD18" si="5">SUM(SUMIF($F:$F,"是",AB:AB))</f>
        <v>374</v>
      </c>
      <c r="AC18" s="67">
        <f t="shared" si="5"/>
        <v>125493.3</v>
      </c>
      <c r="AD18" s="67">
        <f t="shared" si="5"/>
        <v>12600</v>
      </c>
      <c r="AE18" s="67">
        <f t="shared" ref="AE18:AI18" si="6">SUM(SUMIF($F:$F,"是",AE:AE))</f>
        <v>707513.96</v>
      </c>
      <c r="AF18" s="67">
        <f t="shared" si="6"/>
        <v>73698.7338112572</v>
      </c>
      <c r="AG18" s="67">
        <f t="shared" si="6"/>
        <v>374</v>
      </c>
      <c r="AH18" s="67">
        <f t="shared" si="6"/>
        <v>3751.25376128385</v>
      </c>
      <c r="AI18" s="67">
        <f t="shared" si="6"/>
        <v>0</v>
      </c>
      <c r="AJ18" s="115"/>
      <c r="AK18" s="44">
        <f t="shared" ref="AK18:AP18" si="7">SUM(SUMIF($F:$F,"是",AK:AK))</f>
        <v>5644.99208473191</v>
      </c>
      <c r="AL18" s="67">
        <f t="shared" si="7"/>
        <v>2277.87</v>
      </c>
      <c r="AM18" s="44">
        <f t="shared" si="7"/>
        <v>6342.09889004504</v>
      </c>
      <c r="AN18" s="67">
        <f t="shared" si="7"/>
        <v>375164</v>
      </c>
      <c r="AO18" s="127" t="e">
        <f t="shared" si="7"/>
        <v>#REF!</v>
      </c>
      <c r="AP18" s="127" t="e">
        <f t="shared" si="7"/>
        <v>#REF!</v>
      </c>
      <c r="AQ18" s="126" t="e">
        <f t="shared" si="1"/>
        <v>#REF!</v>
      </c>
      <c r="AR18" s="67">
        <f>SUM(SUMIF($E:$E,"是",AR:AR))</f>
        <v>0</v>
      </c>
      <c r="AS18" s="67">
        <f>SUM(SUMIF($E:$E,"是",AS:AS))</f>
        <v>0</v>
      </c>
      <c r="AT18" s="67">
        <f>SUM(SUMIF($E:$E,"是",AT:AT))</f>
        <v>0</v>
      </c>
      <c r="AU18" s="28">
        <f>SUM(SUMIF($F:$F,"是",AU:AU))</f>
        <v>386947</v>
      </c>
    </row>
    <row r="19" s="6" customFormat="1" ht="17" customHeight="1" spans="1:85">
      <c r="A19" s="39"/>
      <c r="B19" s="40" t="s">
        <v>72</v>
      </c>
      <c r="C19" s="41">
        <v>1</v>
      </c>
      <c r="D19" s="41"/>
      <c r="E19" s="41"/>
      <c r="F19" s="42"/>
      <c r="G19" s="43">
        <v>65537</v>
      </c>
      <c r="H19" s="43">
        <f>H20+H21</f>
        <v>0</v>
      </c>
      <c r="I19" s="43">
        <f>I20+I21</f>
        <v>0</v>
      </c>
      <c r="J19" s="68">
        <f t="shared" ref="J19:X19" si="8">J20+J21</f>
        <v>314463</v>
      </c>
      <c r="K19" s="68">
        <f t="shared" si="8"/>
        <v>157295.2</v>
      </c>
      <c r="L19" s="68">
        <f t="shared" si="8"/>
        <v>3450.8</v>
      </c>
      <c r="M19" s="68">
        <f t="shared" si="8"/>
        <v>48962</v>
      </c>
      <c r="N19" s="68">
        <f t="shared" si="8"/>
        <v>104882.4</v>
      </c>
      <c r="O19" s="68">
        <f t="shared" si="8"/>
        <v>0</v>
      </c>
      <c r="P19" s="68">
        <f t="shared" si="8"/>
        <v>0</v>
      </c>
      <c r="Q19" s="68">
        <v>25920</v>
      </c>
      <c r="R19" s="68">
        <f t="shared" si="8"/>
        <v>23091</v>
      </c>
      <c r="S19" s="68">
        <f t="shared" si="8"/>
        <v>21038.4</v>
      </c>
      <c r="T19" s="68">
        <f t="shared" si="8"/>
        <v>122</v>
      </c>
      <c r="U19" s="68">
        <f t="shared" si="8"/>
        <v>2804.4</v>
      </c>
      <c r="V19" s="68">
        <f t="shared" si="8"/>
        <v>0</v>
      </c>
      <c r="W19" s="68">
        <f t="shared" si="8"/>
        <v>18112</v>
      </c>
      <c r="X19" s="43">
        <f t="shared" si="8"/>
        <v>11630.819207065</v>
      </c>
      <c r="Y19" s="68"/>
      <c r="Z19" s="68">
        <f t="shared" ref="Z19:AD19" si="9">Z20+Z21</f>
        <v>1.30236518448439</v>
      </c>
      <c r="AA19" s="43">
        <f t="shared" si="9"/>
        <v>18102.7011191449</v>
      </c>
      <c r="AB19" s="68">
        <v>0</v>
      </c>
      <c r="AC19" s="43">
        <f t="shared" si="9"/>
        <v>0</v>
      </c>
      <c r="AD19" s="43">
        <f t="shared" si="9"/>
        <v>1800</v>
      </c>
      <c r="AE19" s="68">
        <f t="shared" ref="AE19:AI19" si="10">AE20+AE21</f>
        <v>114806.88</v>
      </c>
      <c r="AF19" s="43">
        <f t="shared" si="10"/>
        <v>11958.9466316975</v>
      </c>
      <c r="AG19" s="43">
        <f t="shared" si="10"/>
        <v>78</v>
      </c>
      <c r="AH19" s="43">
        <f t="shared" si="10"/>
        <v>782.34704112337</v>
      </c>
      <c r="AI19" s="43">
        <f t="shared" si="10"/>
        <v>0</v>
      </c>
      <c r="AJ19" s="116"/>
      <c r="AK19" s="43">
        <f t="shared" ref="AK19:AO19" si="11">AK20+AK21</f>
        <v>3783.55027457393</v>
      </c>
      <c r="AL19" s="68">
        <f t="shared" si="11"/>
        <v>783.63</v>
      </c>
      <c r="AM19" s="43">
        <f t="shared" si="11"/>
        <v>2181.8009601979</v>
      </c>
      <c r="AN19" s="68">
        <f t="shared" si="11"/>
        <v>50241</v>
      </c>
      <c r="AO19" s="43" t="e">
        <f t="shared" si="11"/>
        <v>#REF!</v>
      </c>
      <c r="AP19" s="65" t="e">
        <f t="shared" ref="AP19:AP77" si="12">AN19-AO19</f>
        <v>#REF!</v>
      </c>
      <c r="AQ19" s="125" t="e">
        <f t="shared" ref="AQ19:AQ77" si="13">AP19/AO19</f>
        <v>#REF!</v>
      </c>
      <c r="AR19" s="68">
        <v>1964</v>
      </c>
      <c r="AS19" s="68">
        <v>0</v>
      </c>
      <c r="AT19" s="68">
        <v>0</v>
      </c>
      <c r="AU19" s="128">
        <f>AU20+AU21</f>
        <v>52205</v>
      </c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</row>
    <row r="20" ht="17" customHeight="1" spans="1:47">
      <c r="A20" s="29"/>
      <c r="B20" s="30" t="s">
        <v>74</v>
      </c>
      <c r="C20" s="31">
        <v>2</v>
      </c>
      <c r="D20" s="31"/>
      <c r="E20" s="31"/>
      <c r="F20" s="32"/>
      <c r="G20" s="44">
        <v>1053</v>
      </c>
      <c r="H20" s="44"/>
      <c r="I20" s="44"/>
      <c r="J20" s="69"/>
      <c r="K20" s="67"/>
      <c r="L20" s="67"/>
      <c r="M20" s="67"/>
      <c r="N20" s="67"/>
      <c r="O20" s="67"/>
      <c r="P20" s="67"/>
      <c r="Q20" s="67"/>
      <c r="R20" s="67"/>
      <c r="S20" s="67">
        <f>O20*0.4+P20*0.6+Q20*0.8+R20*1</f>
        <v>0</v>
      </c>
      <c r="T20" s="67">
        <f>R20-U20-V20-W20</f>
        <v>0</v>
      </c>
      <c r="U20" s="67"/>
      <c r="V20" s="67"/>
      <c r="W20" s="67"/>
      <c r="X20" s="44"/>
      <c r="Y20" s="67"/>
      <c r="Z20" s="67"/>
      <c r="AA20" s="44"/>
      <c r="AB20" s="67"/>
      <c r="AC20" s="44"/>
      <c r="AD20" s="44"/>
      <c r="AE20" s="67"/>
      <c r="AF20" s="44"/>
      <c r="AG20" s="44"/>
      <c r="AH20" s="44"/>
      <c r="AI20" s="44"/>
      <c r="AJ20" s="115"/>
      <c r="AK20" s="44"/>
      <c r="AL20" s="67"/>
      <c r="AM20" s="44"/>
      <c r="AN20" s="67"/>
      <c r="AO20" s="44"/>
      <c r="AP20" s="67">
        <f t="shared" si="12"/>
        <v>0</v>
      </c>
      <c r="AQ20" s="126"/>
      <c r="AR20" s="67"/>
      <c r="AS20" s="67"/>
      <c r="AT20" s="67"/>
      <c r="AU20" s="127">
        <f t="shared" ref="AU20:AU35" si="14">AT20+AS20+AR20+AN20</f>
        <v>0</v>
      </c>
    </row>
    <row r="21" s="7" customFormat="1" ht="17" customHeight="1" spans="1:85">
      <c r="A21" s="45"/>
      <c r="B21" s="46" t="s">
        <v>76</v>
      </c>
      <c r="C21" s="47">
        <v>3</v>
      </c>
      <c r="D21" s="47"/>
      <c r="E21" s="47"/>
      <c r="F21" s="48"/>
      <c r="G21" s="49">
        <v>64484</v>
      </c>
      <c r="H21" s="49">
        <f>SUM(H22:H35)</f>
        <v>0</v>
      </c>
      <c r="I21" s="49">
        <f>SUM(I22:I35)</f>
        <v>0</v>
      </c>
      <c r="J21" s="70">
        <f t="shared" ref="J21:X21" si="15">SUM(J22:J35)</f>
        <v>314463</v>
      </c>
      <c r="K21" s="70">
        <f t="shared" si="15"/>
        <v>157295.2</v>
      </c>
      <c r="L21" s="70">
        <f t="shared" si="15"/>
        <v>3450.8</v>
      </c>
      <c r="M21" s="70">
        <f t="shared" si="15"/>
        <v>48962</v>
      </c>
      <c r="N21" s="70">
        <f t="shared" si="15"/>
        <v>104882.4</v>
      </c>
      <c r="O21" s="70">
        <f t="shared" si="15"/>
        <v>0</v>
      </c>
      <c r="P21" s="70">
        <f t="shared" si="15"/>
        <v>0</v>
      </c>
      <c r="Q21" s="70">
        <v>25920</v>
      </c>
      <c r="R21" s="70">
        <f t="shared" si="15"/>
        <v>23091</v>
      </c>
      <c r="S21" s="70">
        <f t="shared" si="15"/>
        <v>21038.4</v>
      </c>
      <c r="T21" s="70">
        <f t="shared" si="15"/>
        <v>122</v>
      </c>
      <c r="U21" s="70">
        <f t="shared" si="15"/>
        <v>2804.4</v>
      </c>
      <c r="V21" s="70">
        <f t="shared" si="15"/>
        <v>0</v>
      </c>
      <c r="W21" s="70">
        <f t="shared" si="15"/>
        <v>18112</v>
      </c>
      <c r="X21" s="49">
        <f t="shared" si="15"/>
        <v>11630.819207065</v>
      </c>
      <c r="Y21" s="70"/>
      <c r="Z21" s="70">
        <f t="shared" ref="Z21:AD21" si="16">SUM(Z22:Z35)</f>
        <v>1.30236518448439</v>
      </c>
      <c r="AA21" s="49">
        <f t="shared" si="16"/>
        <v>18102.7011191449</v>
      </c>
      <c r="AB21" s="70">
        <v>0</v>
      </c>
      <c r="AC21" s="49">
        <f t="shared" si="16"/>
        <v>0</v>
      </c>
      <c r="AD21" s="49">
        <f t="shared" si="16"/>
        <v>1800</v>
      </c>
      <c r="AE21" s="70">
        <f t="shared" ref="AE21:AI21" si="17">SUM(AE22:AE35)</f>
        <v>114806.88</v>
      </c>
      <c r="AF21" s="49">
        <f t="shared" si="17"/>
        <v>11958.9466316975</v>
      </c>
      <c r="AG21" s="49">
        <f t="shared" si="17"/>
        <v>78</v>
      </c>
      <c r="AH21" s="49">
        <f t="shared" si="17"/>
        <v>782.34704112337</v>
      </c>
      <c r="AI21" s="49">
        <f t="shared" si="17"/>
        <v>0</v>
      </c>
      <c r="AJ21" s="117"/>
      <c r="AK21" s="49">
        <f t="shared" ref="AK21:AO21" si="18">SUM(AK22:AK35)</f>
        <v>3783.55027457393</v>
      </c>
      <c r="AL21" s="70">
        <f t="shared" si="18"/>
        <v>783.63</v>
      </c>
      <c r="AM21" s="49">
        <f t="shared" si="18"/>
        <v>2181.8009601979</v>
      </c>
      <c r="AN21" s="70">
        <f t="shared" si="18"/>
        <v>50241</v>
      </c>
      <c r="AO21" s="49" t="e">
        <f t="shared" si="18"/>
        <v>#REF!</v>
      </c>
      <c r="AP21" s="65" t="e">
        <f t="shared" si="12"/>
        <v>#REF!</v>
      </c>
      <c r="AQ21" s="125" t="e">
        <f t="shared" si="13"/>
        <v>#REF!</v>
      </c>
      <c r="AR21" s="70">
        <v>1964</v>
      </c>
      <c r="AS21" s="70">
        <v>0</v>
      </c>
      <c r="AT21" s="70">
        <v>0</v>
      </c>
      <c r="AU21" s="129">
        <f>SUM(AU22:AU35)</f>
        <v>52205</v>
      </c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</row>
    <row r="22" s="4" customFormat="1" ht="17" customHeight="1" spans="1:85">
      <c r="A22" s="37">
        <v>1</v>
      </c>
      <c r="B22" s="50" t="s">
        <v>59</v>
      </c>
      <c r="C22" s="37" t="s">
        <v>78</v>
      </c>
      <c r="D22" s="37"/>
      <c r="E22" s="37"/>
      <c r="F22" s="32"/>
      <c r="G22" s="44">
        <v>365</v>
      </c>
      <c r="H22" s="44"/>
      <c r="I22" s="44"/>
      <c r="J22" s="71">
        <v>3200</v>
      </c>
      <c r="K22" s="72">
        <f t="shared" ref="K22:K35" si="19">SUM(L22:P22)</f>
        <v>640</v>
      </c>
      <c r="L22" s="72">
        <f t="shared" ref="L22:L35" si="20">IF(D22="",J22*0.2,0)</f>
        <v>640</v>
      </c>
      <c r="M22" s="72">
        <f t="shared" ref="M22:M35" si="21">IF(D22=2017,J22*0.4,0)</f>
        <v>0</v>
      </c>
      <c r="N22" s="72">
        <f t="shared" ref="N22:N35" si="22">IF(D22=2018,J22*0.6,0)</f>
        <v>0</v>
      </c>
      <c r="O22" s="72">
        <f t="shared" ref="O22:O35" si="23">IF(D22=2019,J22*0.8,0)</f>
        <v>0</v>
      </c>
      <c r="P22" s="72">
        <f t="shared" ref="P22:P35" si="24">IF(D22=2020,J22*1,0)</f>
        <v>0</v>
      </c>
      <c r="Q22" s="67"/>
      <c r="R22" s="72"/>
      <c r="S22" s="72">
        <f t="shared" ref="S22:S35" si="25">T22+U22+V22+W22</f>
        <v>0</v>
      </c>
      <c r="T22" s="72"/>
      <c r="U22" s="72"/>
      <c r="V22" s="72"/>
      <c r="W22" s="72"/>
      <c r="X22" s="44">
        <f>(K22/$K$10*0.2+Q22/$Q$10*0.05+S22/$S$10*0.05)*1254933</f>
        <v>33.6078027826336</v>
      </c>
      <c r="Y22" s="72">
        <v>22954</v>
      </c>
      <c r="Z22" s="72">
        <f t="shared" ref="Z22:Z35" si="26">IF(Y22&lt;12842,(12842-Y22)/(12842-$Y$176),0)</f>
        <v>0</v>
      </c>
      <c r="AA22" s="44">
        <f>(Z22/$Z$10*0.2)*1254933</f>
        <v>0</v>
      </c>
      <c r="AB22" s="67"/>
      <c r="AC22" s="44"/>
      <c r="AD22" s="44"/>
      <c r="AE22" s="72"/>
      <c r="AF22" s="44"/>
      <c r="AG22" s="44">
        <f>VLOOKUP(B:B,[2]Sheet2!$B:$E,4,0)</f>
        <v>7</v>
      </c>
      <c r="AH22" s="44">
        <f t="shared" ref="AH22:AH35" si="27">AG22/$AG$10*10000</f>
        <v>70.2106318956871</v>
      </c>
      <c r="AI22" s="44"/>
      <c r="AJ22" s="115">
        <f>VLOOKUP(B:B,'[1]扶贫资金项目情况调度统计表 (2)'!$B:$I,8,0)</f>
        <v>0.988441610203268</v>
      </c>
      <c r="AK22" s="44">
        <f t="shared" ref="AK22:AK35" si="28">AJ22/$AJ$10*0.025*1254933</f>
        <v>303.253698814314</v>
      </c>
      <c r="AL22" s="67">
        <v>78.59</v>
      </c>
      <c r="AM22" s="44">
        <f t="shared" ref="AM22:AM35" si="29">(AL22/$AL$10)*0.025*1254933</f>
        <v>218.812114725002</v>
      </c>
      <c r="AN22" s="67">
        <f t="shared" ref="AN22:AN35" si="30">ROUND(AM22+AK22+AI22+AF22+AH22+AD22+AC22+AA22+X22,0)</f>
        <v>626</v>
      </c>
      <c r="AO22" s="44" t="e">
        <f>#REF!*1254933/1408452</f>
        <v>#REF!</v>
      </c>
      <c r="AP22" s="44" t="e">
        <f t="shared" si="12"/>
        <v>#REF!</v>
      </c>
      <c r="AQ22" s="126" t="e">
        <f t="shared" si="13"/>
        <v>#REF!</v>
      </c>
      <c r="AR22" s="67">
        <v>0</v>
      </c>
      <c r="AS22" s="67">
        <v>0</v>
      </c>
      <c r="AT22" s="67">
        <v>0</v>
      </c>
      <c r="AU22" s="127">
        <f t="shared" si="14"/>
        <v>626</v>
      </c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</row>
    <row r="23" ht="17" customHeight="1" spans="1:47">
      <c r="A23" s="31">
        <v>2</v>
      </c>
      <c r="B23" s="51" t="s">
        <v>57</v>
      </c>
      <c r="C23" s="31" t="s">
        <v>78</v>
      </c>
      <c r="D23" s="31"/>
      <c r="E23" s="31"/>
      <c r="F23" s="32"/>
      <c r="G23" s="44">
        <v>200</v>
      </c>
      <c r="H23" s="44"/>
      <c r="I23" s="44"/>
      <c r="J23" s="69"/>
      <c r="K23" s="67">
        <f t="shared" si="19"/>
        <v>0</v>
      </c>
      <c r="L23" s="67">
        <f t="shared" si="20"/>
        <v>0</v>
      </c>
      <c r="M23" s="67">
        <f t="shared" si="21"/>
        <v>0</v>
      </c>
      <c r="N23" s="67">
        <f t="shared" si="22"/>
        <v>0</v>
      </c>
      <c r="O23" s="67">
        <f t="shared" si="23"/>
        <v>0</v>
      </c>
      <c r="P23" s="67">
        <f t="shared" si="24"/>
        <v>0</v>
      </c>
      <c r="Q23" s="67"/>
      <c r="R23" s="67"/>
      <c r="S23" s="67">
        <f t="shared" si="25"/>
        <v>0</v>
      </c>
      <c r="T23" s="67"/>
      <c r="U23" s="67"/>
      <c r="V23" s="67"/>
      <c r="W23" s="67"/>
      <c r="X23" s="44">
        <f t="shared" ref="X22:X35" si="31">(K23/$K$10*0.2+Q23/$Q$10*0.05+S23/$S$10*0.05)*1254933</f>
        <v>0</v>
      </c>
      <c r="Y23" s="67">
        <v>22790</v>
      </c>
      <c r="Z23" s="67">
        <f t="shared" si="26"/>
        <v>0</v>
      </c>
      <c r="AA23" s="44">
        <f t="shared" ref="AA22:AA35" si="32">(Z23/$Z$10*0.2)*1254933</f>
        <v>0</v>
      </c>
      <c r="AB23" s="67"/>
      <c r="AC23" s="44"/>
      <c r="AD23" s="44"/>
      <c r="AE23" s="67"/>
      <c r="AF23" s="44"/>
      <c r="AG23" s="44">
        <f>VLOOKUP(B:B,[2]Sheet2!$B:$E,4,0)</f>
        <v>0</v>
      </c>
      <c r="AH23" s="44">
        <f t="shared" si="27"/>
        <v>0</v>
      </c>
      <c r="AI23" s="44"/>
      <c r="AJ23" s="115">
        <f>VLOOKUP(B:B,'[1]扶贫资金项目情况调度统计表 (2)'!$B:$I,8,0)</f>
        <v>0.85161</v>
      </c>
      <c r="AK23" s="44">
        <f t="shared" si="28"/>
        <v>261.273786717811</v>
      </c>
      <c r="AL23" s="67">
        <v>0</v>
      </c>
      <c r="AM23" s="44">
        <f t="shared" si="29"/>
        <v>0</v>
      </c>
      <c r="AN23" s="67">
        <f t="shared" si="30"/>
        <v>261</v>
      </c>
      <c r="AO23" s="44" t="e">
        <f>#REF!*1254933/1408452</f>
        <v>#REF!</v>
      </c>
      <c r="AP23" s="44" t="e">
        <f t="shared" si="12"/>
        <v>#REF!</v>
      </c>
      <c r="AQ23" s="126"/>
      <c r="AR23" s="67">
        <v>0</v>
      </c>
      <c r="AS23" s="67">
        <v>0</v>
      </c>
      <c r="AT23" s="67">
        <v>0</v>
      </c>
      <c r="AU23" s="127">
        <f t="shared" si="14"/>
        <v>261</v>
      </c>
    </row>
    <row r="24" ht="17" customHeight="1" spans="1:47">
      <c r="A24" s="31">
        <v>3</v>
      </c>
      <c r="B24" s="51" t="s">
        <v>63</v>
      </c>
      <c r="C24" s="31" t="s">
        <v>78</v>
      </c>
      <c r="D24" s="31"/>
      <c r="E24" s="31"/>
      <c r="F24" s="32"/>
      <c r="G24" s="44">
        <v>200</v>
      </c>
      <c r="H24" s="44"/>
      <c r="I24" s="44"/>
      <c r="J24" s="69"/>
      <c r="K24" s="67">
        <f t="shared" si="19"/>
        <v>0</v>
      </c>
      <c r="L24" s="67">
        <f t="shared" si="20"/>
        <v>0</v>
      </c>
      <c r="M24" s="67">
        <f t="shared" si="21"/>
        <v>0</v>
      </c>
      <c r="N24" s="67">
        <f t="shared" si="22"/>
        <v>0</v>
      </c>
      <c r="O24" s="67">
        <f t="shared" si="23"/>
        <v>0</v>
      </c>
      <c r="P24" s="67">
        <f t="shared" si="24"/>
        <v>0</v>
      </c>
      <c r="Q24" s="67"/>
      <c r="R24" s="67"/>
      <c r="S24" s="67">
        <f t="shared" si="25"/>
        <v>0</v>
      </c>
      <c r="T24" s="67"/>
      <c r="U24" s="67"/>
      <c r="V24" s="67"/>
      <c r="W24" s="67"/>
      <c r="X24" s="44">
        <f t="shared" si="31"/>
        <v>0</v>
      </c>
      <c r="Y24" s="67">
        <v>23595</v>
      </c>
      <c r="Z24" s="67">
        <f t="shared" si="26"/>
        <v>0</v>
      </c>
      <c r="AA24" s="44">
        <f t="shared" si="32"/>
        <v>0</v>
      </c>
      <c r="AB24" s="67"/>
      <c r="AC24" s="44"/>
      <c r="AD24" s="44"/>
      <c r="AE24" s="67"/>
      <c r="AF24" s="44"/>
      <c r="AG24" s="44">
        <f>VLOOKUP(B:B,[2]Sheet2!$B:$E,4,0)</f>
        <v>6</v>
      </c>
      <c r="AH24" s="44">
        <f t="shared" si="27"/>
        <v>60.1805416248746</v>
      </c>
      <c r="AI24" s="44"/>
      <c r="AJ24" s="115">
        <f>VLOOKUP(B:B,'[1]扶贫资金项目情况调度统计表 (2)'!$B:$I,8,0)</f>
        <v>0.731707317073171</v>
      </c>
      <c r="AK24" s="44">
        <f t="shared" si="28"/>
        <v>224.487666303633</v>
      </c>
      <c r="AL24" s="67">
        <v>0</v>
      </c>
      <c r="AM24" s="44">
        <f t="shared" si="29"/>
        <v>0</v>
      </c>
      <c r="AN24" s="67">
        <f t="shared" si="30"/>
        <v>285</v>
      </c>
      <c r="AO24" s="44" t="e">
        <f>#REF!*1254933/1408452</f>
        <v>#REF!</v>
      </c>
      <c r="AP24" s="44" t="e">
        <f t="shared" si="12"/>
        <v>#REF!</v>
      </c>
      <c r="AQ24" s="126"/>
      <c r="AR24" s="67">
        <v>0</v>
      </c>
      <c r="AS24" s="67">
        <v>0</v>
      </c>
      <c r="AT24" s="67">
        <v>0</v>
      </c>
      <c r="AU24" s="127">
        <f t="shared" si="14"/>
        <v>285</v>
      </c>
    </row>
    <row r="25" ht="17" customHeight="1" spans="1:47">
      <c r="A25" s="31">
        <v>4</v>
      </c>
      <c r="B25" s="51" t="s">
        <v>61</v>
      </c>
      <c r="C25" s="31" t="s">
        <v>78</v>
      </c>
      <c r="D25" s="31"/>
      <c r="E25" s="31"/>
      <c r="F25" s="32"/>
      <c r="G25" s="44">
        <v>200</v>
      </c>
      <c r="H25" s="44"/>
      <c r="I25" s="44"/>
      <c r="J25" s="69"/>
      <c r="K25" s="67">
        <f t="shared" si="19"/>
        <v>0</v>
      </c>
      <c r="L25" s="67">
        <f t="shared" si="20"/>
        <v>0</v>
      </c>
      <c r="M25" s="67">
        <f t="shared" si="21"/>
        <v>0</v>
      </c>
      <c r="N25" s="67">
        <f t="shared" si="22"/>
        <v>0</v>
      </c>
      <c r="O25" s="67">
        <f t="shared" si="23"/>
        <v>0</v>
      </c>
      <c r="P25" s="67">
        <f t="shared" si="24"/>
        <v>0</v>
      </c>
      <c r="Q25" s="67"/>
      <c r="R25" s="67"/>
      <c r="S25" s="67">
        <f t="shared" si="25"/>
        <v>0</v>
      </c>
      <c r="T25" s="67"/>
      <c r="U25" s="67"/>
      <c r="V25" s="67"/>
      <c r="W25" s="67"/>
      <c r="X25" s="44">
        <f t="shared" si="31"/>
        <v>0</v>
      </c>
      <c r="Y25" s="67">
        <v>24073</v>
      </c>
      <c r="Z25" s="67">
        <f t="shared" si="26"/>
        <v>0</v>
      </c>
      <c r="AA25" s="44">
        <f t="shared" si="32"/>
        <v>0</v>
      </c>
      <c r="AB25" s="67"/>
      <c r="AC25" s="44"/>
      <c r="AD25" s="44"/>
      <c r="AE25" s="67"/>
      <c r="AF25" s="44"/>
      <c r="AG25" s="44">
        <f>VLOOKUP(B:B,[2]Sheet2!$B:$E,4,0)</f>
        <v>2</v>
      </c>
      <c r="AH25" s="44">
        <f t="shared" si="27"/>
        <v>20.0601805416249</v>
      </c>
      <c r="AI25" s="44"/>
      <c r="AJ25" s="115">
        <f>VLOOKUP(B:B,'[1]扶贫资金项目情况调度统计表 (2)'!$B:$I,8,0)</f>
        <v>1</v>
      </c>
      <c r="AK25" s="44">
        <f t="shared" si="28"/>
        <v>306.799810614966</v>
      </c>
      <c r="AL25" s="67">
        <v>0</v>
      </c>
      <c r="AM25" s="44">
        <f t="shared" si="29"/>
        <v>0</v>
      </c>
      <c r="AN25" s="67">
        <f t="shared" si="30"/>
        <v>327</v>
      </c>
      <c r="AO25" s="44" t="e">
        <f>#REF!*1254933/1408452</f>
        <v>#REF!</v>
      </c>
      <c r="AP25" s="44" t="e">
        <f t="shared" si="12"/>
        <v>#REF!</v>
      </c>
      <c r="AQ25" s="126"/>
      <c r="AR25" s="67">
        <v>0</v>
      </c>
      <c r="AS25" s="67">
        <v>0</v>
      </c>
      <c r="AT25" s="67">
        <v>0</v>
      </c>
      <c r="AU25" s="127">
        <f t="shared" si="14"/>
        <v>327</v>
      </c>
    </row>
    <row r="26" ht="17" customHeight="1" spans="1:47">
      <c r="A26" s="31">
        <v>5</v>
      </c>
      <c r="B26" s="51" t="s">
        <v>67</v>
      </c>
      <c r="C26" s="31" t="s">
        <v>78</v>
      </c>
      <c r="D26" s="31"/>
      <c r="E26" s="31"/>
      <c r="F26" s="32"/>
      <c r="G26" s="44">
        <v>200</v>
      </c>
      <c r="H26" s="44"/>
      <c r="I26" s="44"/>
      <c r="J26" s="69"/>
      <c r="K26" s="67">
        <f t="shared" si="19"/>
        <v>0</v>
      </c>
      <c r="L26" s="67">
        <f t="shared" si="20"/>
        <v>0</v>
      </c>
      <c r="M26" s="67">
        <f t="shared" si="21"/>
        <v>0</v>
      </c>
      <c r="N26" s="67">
        <f t="shared" si="22"/>
        <v>0</v>
      </c>
      <c r="O26" s="67">
        <f t="shared" si="23"/>
        <v>0</v>
      </c>
      <c r="P26" s="67">
        <f t="shared" si="24"/>
        <v>0</v>
      </c>
      <c r="Q26" s="67"/>
      <c r="R26" s="67"/>
      <c r="S26" s="67">
        <f t="shared" si="25"/>
        <v>0</v>
      </c>
      <c r="T26" s="67"/>
      <c r="U26" s="67"/>
      <c r="V26" s="67"/>
      <c r="W26" s="67"/>
      <c r="X26" s="44">
        <f t="shared" si="31"/>
        <v>0</v>
      </c>
      <c r="Y26" s="67">
        <v>23298</v>
      </c>
      <c r="Z26" s="67">
        <f t="shared" si="26"/>
        <v>0</v>
      </c>
      <c r="AA26" s="44">
        <f t="shared" si="32"/>
        <v>0</v>
      </c>
      <c r="AB26" s="67"/>
      <c r="AC26" s="44"/>
      <c r="AD26" s="44"/>
      <c r="AE26" s="67"/>
      <c r="AF26" s="44"/>
      <c r="AG26" s="44">
        <f>VLOOKUP(B:B,[2]Sheet2!$B:$E,4,0)</f>
        <v>2</v>
      </c>
      <c r="AH26" s="44">
        <f t="shared" si="27"/>
        <v>20.0601805416249</v>
      </c>
      <c r="AI26" s="44"/>
      <c r="AJ26" s="115">
        <f>VLOOKUP(B:B,'[1]扶贫资金项目情况调度统计表 (2)'!$B:$I,8,0)</f>
        <v>1</v>
      </c>
      <c r="AK26" s="44">
        <f t="shared" si="28"/>
        <v>306.799810614966</v>
      </c>
      <c r="AL26" s="67">
        <v>0</v>
      </c>
      <c r="AM26" s="44">
        <f t="shared" si="29"/>
        <v>0</v>
      </c>
      <c r="AN26" s="67">
        <f t="shared" si="30"/>
        <v>327</v>
      </c>
      <c r="AO26" s="44" t="e">
        <f>#REF!*1254933/1408452</f>
        <v>#REF!</v>
      </c>
      <c r="AP26" s="44" t="e">
        <f t="shared" si="12"/>
        <v>#REF!</v>
      </c>
      <c r="AQ26" s="126"/>
      <c r="AR26" s="67">
        <v>0</v>
      </c>
      <c r="AS26" s="67">
        <v>0</v>
      </c>
      <c r="AT26" s="67">
        <v>0</v>
      </c>
      <c r="AU26" s="127">
        <f t="shared" si="14"/>
        <v>327</v>
      </c>
    </row>
    <row r="27" ht="17" customHeight="1" spans="1:47">
      <c r="A27" s="31">
        <v>6</v>
      </c>
      <c r="B27" s="51" t="s">
        <v>81</v>
      </c>
      <c r="C27" s="31" t="s">
        <v>78</v>
      </c>
      <c r="D27" s="31"/>
      <c r="E27" s="31"/>
      <c r="F27" s="32"/>
      <c r="G27" s="44">
        <v>100</v>
      </c>
      <c r="H27" s="44"/>
      <c r="I27" s="44"/>
      <c r="J27" s="69"/>
      <c r="K27" s="67">
        <f t="shared" si="19"/>
        <v>0</v>
      </c>
      <c r="L27" s="67">
        <f t="shared" si="20"/>
        <v>0</v>
      </c>
      <c r="M27" s="67">
        <f t="shared" si="21"/>
        <v>0</v>
      </c>
      <c r="N27" s="67">
        <f t="shared" si="22"/>
        <v>0</v>
      </c>
      <c r="O27" s="67">
        <f t="shared" si="23"/>
        <v>0</v>
      </c>
      <c r="P27" s="67">
        <f t="shared" si="24"/>
        <v>0</v>
      </c>
      <c r="Q27" s="67"/>
      <c r="R27" s="67"/>
      <c r="S27" s="67">
        <f t="shared" si="25"/>
        <v>0</v>
      </c>
      <c r="T27" s="67"/>
      <c r="U27" s="67"/>
      <c r="V27" s="67"/>
      <c r="W27" s="67"/>
      <c r="X27" s="44">
        <f t="shared" si="31"/>
        <v>0</v>
      </c>
      <c r="Y27" s="67">
        <v>21410</v>
      </c>
      <c r="Z27" s="67">
        <f t="shared" si="26"/>
        <v>0</v>
      </c>
      <c r="AA27" s="44">
        <f t="shared" si="32"/>
        <v>0</v>
      </c>
      <c r="AB27" s="67"/>
      <c r="AC27" s="44"/>
      <c r="AD27" s="44"/>
      <c r="AE27" s="67"/>
      <c r="AF27" s="44"/>
      <c r="AG27" s="44">
        <f>VLOOKUP(B:B,[2]Sheet2!$B:$E,4,0)</f>
        <v>7</v>
      </c>
      <c r="AH27" s="44">
        <f t="shared" si="27"/>
        <v>70.2106318956871</v>
      </c>
      <c r="AI27" s="44"/>
      <c r="AJ27" s="115">
        <f>VLOOKUP(B:B,'[1]扶贫资金项目情况调度统计表 (2)'!$B:$I,8,0)</f>
        <v>1</v>
      </c>
      <c r="AK27" s="44">
        <f t="shared" si="28"/>
        <v>306.799810614966</v>
      </c>
      <c r="AL27" s="67">
        <v>0</v>
      </c>
      <c r="AM27" s="44">
        <f t="shared" si="29"/>
        <v>0</v>
      </c>
      <c r="AN27" s="67">
        <f t="shared" si="30"/>
        <v>377</v>
      </c>
      <c r="AO27" s="44" t="e">
        <f>#REF!*1254933/1408452</f>
        <v>#REF!</v>
      </c>
      <c r="AP27" s="44" t="e">
        <f t="shared" si="12"/>
        <v>#REF!</v>
      </c>
      <c r="AQ27" s="126"/>
      <c r="AR27" s="67">
        <v>0</v>
      </c>
      <c r="AS27" s="67">
        <v>0</v>
      </c>
      <c r="AT27" s="67">
        <v>0</v>
      </c>
      <c r="AU27" s="127">
        <f t="shared" si="14"/>
        <v>377</v>
      </c>
    </row>
    <row r="28" ht="17" customHeight="1" spans="1:47">
      <c r="A28" s="31">
        <v>7</v>
      </c>
      <c r="B28" s="51" t="s">
        <v>71</v>
      </c>
      <c r="C28" s="31" t="s">
        <v>78</v>
      </c>
      <c r="D28" s="31"/>
      <c r="E28" s="31"/>
      <c r="F28" s="32"/>
      <c r="G28" s="44">
        <v>1262</v>
      </c>
      <c r="H28" s="44"/>
      <c r="I28" s="44"/>
      <c r="J28" s="69">
        <v>2323</v>
      </c>
      <c r="K28" s="67">
        <f t="shared" si="19"/>
        <v>464.6</v>
      </c>
      <c r="L28" s="67">
        <f t="shared" si="20"/>
        <v>464.6</v>
      </c>
      <c r="M28" s="67">
        <f t="shared" si="21"/>
        <v>0</v>
      </c>
      <c r="N28" s="67">
        <f t="shared" si="22"/>
        <v>0</v>
      </c>
      <c r="O28" s="67">
        <f t="shared" si="23"/>
        <v>0</v>
      </c>
      <c r="P28" s="67">
        <f t="shared" si="24"/>
        <v>0</v>
      </c>
      <c r="Q28" s="67">
        <v>213</v>
      </c>
      <c r="R28" s="67">
        <v>36</v>
      </c>
      <c r="S28" s="67">
        <f t="shared" si="25"/>
        <v>14.4</v>
      </c>
      <c r="T28" s="67">
        <f t="shared" ref="T28:T32" si="33">R28*0.4</f>
        <v>14.4</v>
      </c>
      <c r="U28" s="67">
        <f>IF(AND(R28&gt;=800,R28&lt;3000),R28*0.6,0)</f>
        <v>0</v>
      </c>
      <c r="V28" s="67"/>
      <c r="W28" s="67"/>
      <c r="X28" s="44">
        <f t="shared" si="31"/>
        <v>41.4134206608638</v>
      </c>
      <c r="Y28" s="67">
        <v>17374</v>
      </c>
      <c r="Z28" s="67">
        <f t="shared" si="26"/>
        <v>0</v>
      </c>
      <c r="AA28" s="44">
        <f t="shared" si="32"/>
        <v>0</v>
      </c>
      <c r="AB28" s="67"/>
      <c r="AC28" s="44"/>
      <c r="AD28" s="44"/>
      <c r="AE28" s="67"/>
      <c r="AF28" s="44"/>
      <c r="AG28" s="44">
        <f>VLOOKUP(B:B,[2]Sheet2!$B:$E,4,0)</f>
        <v>6</v>
      </c>
      <c r="AH28" s="44">
        <f t="shared" si="27"/>
        <v>60.1805416248746</v>
      </c>
      <c r="AI28" s="44"/>
      <c r="AJ28" s="115">
        <f>VLOOKUP(B:B,'[1]扶贫资金项目情况调度统计表 (2)'!$B:$I,8,0)</f>
        <v>0.872899824715162</v>
      </c>
      <c r="AK28" s="44">
        <f t="shared" si="28"/>
        <v>267.805500908448</v>
      </c>
      <c r="AL28" s="67">
        <v>89.38</v>
      </c>
      <c r="AM28" s="44">
        <f t="shared" si="29"/>
        <v>248.853884897832</v>
      </c>
      <c r="AN28" s="67">
        <f t="shared" si="30"/>
        <v>618</v>
      </c>
      <c r="AO28" s="44" t="e">
        <f>#REF!*1254933/1408452</f>
        <v>#REF!</v>
      </c>
      <c r="AP28" s="44" t="e">
        <f t="shared" si="12"/>
        <v>#REF!</v>
      </c>
      <c r="AQ28" s="126" t="e">
        <f t="shared" si="13"/>
        <v>#REF!</v>
      </c>
      <c r="AR28" s="67">
        <v>0</v>
      </c>
      <c r="AS28" s="67">
        <v>0</v>
      </c>
      <c r="AT28" s="67">
        <v>0</v>
      </c>
      <c r="AU28" s="127">
        <f t="shared" si="14"/>
        <v>618</v>
      </c>
    </row>
    <row r="29" s="4" customFormat="1" ht="17" customHeight="1" spans="1:85">
      <c r="A29" s="37">
        <v>8</v>
      </c>
      <c r="B29" s="50" t="s">
        <v>69</v>
      </c>
      <c r="C29" s="37" t="s">
        <v>78</v>
      </c>
      <c r="D29" s="37"/>
      <c r="E29" s="37"/>
      <c r="F29" s="31"/>
      <c r="G29" s="44">
        <v>958</v>
      </c>
      <c r="H29" s="44"/>
      <c r="I29" s="44"/>
      <c r="J29" s="73">
        <v>1149</v>
      </c>
      <c r="K29" s="74">
        <f t="shared" si="19"/>
        <v>229.8</v>
      </c>
      <c r="L29" s="74">
        <f t="shared" si="20"/>
        <v>229.8</v>
      </c>
      <c r="M29" s="74">
        <f t="shared" si="21"/>
        <v>0</v>
      </c>
      <c r="N29" s="74">
        <f t="shared" si="22"/>
        <v>0</v>
      </c>
      <c r="O29" s="74">
        <f t="shared" si="23"/>
        <v>0</v>
      </c>
      <c r="P29" s="74">
        <f t="shared" si="24"/>
        <v>0</v>
      </c>
      <c r="Q29" s="44">
        <v>32</v>
      </c>
      <c r="R29" s="74">
        <v>0</v>
      </c>
      <c r="S29" s="74">
        <f t="shared" si="25"/>
        <v>0</v>
      </c>
      <c r="T29" s="74"/>
      <c r="U29" s="74"/>
      <c r="V29" s="74"/>
      <c r="W29" s="74"/>
      <c r="X29" s="44">
        <f t="shared" si="31"/>
        <v>14.4778877016127</v>
      </c>
      <c r="Y29" s="74">
        <v>18679</v>
      </c>
      <c r="Z29" s="102">
        <f t="shared" si="26"/>
        <v>0</v>
      </c>
      <c r="AA29" s="44">
        <f t="shared" si="32"/>
        <v>0</v>
      </c>
      <c r="AB29" s="44"/>
      <c r="AC29" s="44"/>
      <c r="AD29" s="44"/>
      <c r="AE29" s="74"/>
      <c r="AF29" s="44"/>
      <c r="AG29" s="44">
        <f>VLOOKUP(B:B,[2]Sheet2!$B:$E,4,0)</f>
        <v>8</v>
      </c>
      <c r="AH29" s="44">
        <f t="shared" si="27"/>
        <v>80.2407221664995</v>
      </c>
      <c r="AI29" s="44"/>
      <c r="AJ29" s="115">
        <f>VLOOKUP(B:B,'[1]扶贫资金项目情况调度统计表 (2)'!$B:$I,8,0)</f>
        <v>0.85419649122807</v>
      </c>
      <c r="AK29" s="44">
        <f t="shared" si="28"/>
        <v>262.06732173674</v>
      </c>
      <c r="AL29" s="76">
        <v>89.36</v>
      </c>
      <c r="AM29" s="44">
        <f t="shared" si="29"/>
        <v>248.798200430413</v>
      </c>
      <c r="AN29" s="67">
        <f t="shared" si="30"/>
        <v>606</v>
      </c>
      <c r="AO29" s="44" t="e">
        <f>#REF!*1254933/1408452</f>
        <v>#REF!</v>
      </c>
      <c r="AP29" s="44" t="e">
        <f t="shared" si="12"/>
        <v>#REF!</v>
      </c>
      <c r="AQ29" s="126" t="e">
        <f t="shared" si="13"/>
        <v>#REF!</v>
      </c>
      <c r="AR29" s="44">
        <v>0</v>
      </c>
      <c r="AS29" s="44">
        <v>0</v>
      </c>
      <c r="AT29" s="44">
        <v>0</v>
      </c>
      <c r="AU29" s="127">
        <f t="shared" si="14"/>
        <v>606</v>
      </c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</row>
    <row r="30" ht="17" customHeight="1" spans="1:47">
      <c r="A30" s="31">
        <v>9</v>
      </c>
      <c r="B30" s="51" t="s">
        <v>73</v>
      </c>
      <c r="C30" s="31" t="s">
        <v>78</v>
      </c>
      <c r="D30" s="31"/>
      <c r="E30" s="31"/>
      <c r="F30" s="31"/>
      <c r="G30" s="44">
        <v>926</v>
      </c>
      <c r="H30" s="44"/>
      <c r="I30" s="44"/>
      <c r="J30" s="75">
        <v>3781</v>
      </c>
      <c r="K30" s="76">
        <f t="shared" si="19"/>
        <v>756.2</v>
      </c>
      <c r="L30" s="76">
        <f t="shared" si="20"/>
        <v>756.2</v>
      </c>
      <c r="M30" s="76">
        <f t="shared" si="21"/>
        <v>0</v>
      </c>
      <c r="N30" s="76">
        <f t="shared" si="22"/>
        <v>0</v>
      </c>
      <c r="O30" s="76">
        <f t="shared" si="23"/>
        <v>0</v>
      </c>
      <c r="P30" s="76">
        <f t="shared" si="24"/>
        <v>0</v>
      </c>
      <c r="Q30" s="44">
        <v>425</v>
      </c>
      <c r="R30" s="76">
        <v>18</v>
      </c>
      <c r="S30" s="76">
        <f t="shared" si="25"/>
        <v>7.2</v>
      </c>
      <c r="T30" s="76">
        <f t="shared" si="33"/>
        <v>7.2</v>
      </c>
      <c r="U30" s="76"/>
      <c r="V30" s="76"/>
      <c r="W30" s="76"/>
      <c r="X30" s="44">
        <f t="shared" si="31"/>
        <v>72.2107115698097</v>
      </c>
      <c r="Y30" s="76">
        <v>17701</v>
      </c>
      <c r="Z30" s="103">
        <f t="shared" si="26"/>
        <v>0</v>
      </c>
      <c r="AA30" s="44">
        <f t="shared" si="32"/>
        <v>0</v>
      </c>
      <c r="AB30" s="44"/>
      <c r="AC30" s="44"/>
      <c r="AD30" s="44"/>
      <c r="AE30" s="76"/>
      <c r="AF30" s="44"/>
      <c r="AG30" s="44">
        <f>VLOOKUP(B:B,[2]Sheet2!$B:$E,4,0)</f>
        <v>6</v>
      </c>
      <c r="AH30" s="44">
        <f t="shared" si="27"/>
        <v>60.1805416248746</v>
      </c>
      <c r="AI30" s="44"/>
      <c r="AJ30" s="115">
        <f>VLOOKUP(B:B,'[1]扶贫资金项目情况调度统计表 (2)'!$B:$I,8,0)</f>
        <v>0.879519295870007</v>
      </c>
      <c r="AK30" s="44">
        <f t="shared" si="28"/>
        <v>269.836353405126</v>
      </c>
      <c r="AL30" s="76">
        <v>82.15</v>
      </c>
      <c r="AM30" s="44">
        <f t="shared" si="29"/>
        <v>228.723949925676</v>
      </c>
      <c r="AN30" s="67">
        <f t="shared" si="30"/>
        <v>631</v>
      </c>
      <c r="AO30" s="44" t="e">
        <f>#REF!*1254933/1408452</f>
        <v>#REF!</v>
      </c>
      <c r="AP30" s="44" t="e">
        <f t="shared" si="12"/>
        <v>#REF!</v>
      </c>
      <c r="AQ30" s="126" t="e">
        <f t="shared" si="13"/>
        <v>#REF!</v>
      </c>
      <c r="AR30" s="44">
        <v>0</v>
      </c>
      <c r="AS30" s="44">
        <v>0</v>
      </c>
      <c r="AT30" s="44">
        <v>0</v>
      </c>
      <c r="AU30" s="127">
        <f t="shared" si="14"/>
        <v>631</v>
      </c>
    </row>
    <row r="31" ht="17" customHeight="1" spans="1:47">
      <c r="A31" s="31">
        <v>10</v>
      </c>
      <c r="B31" s="51" t="s">
        <v>75</v>
      </c>
      <c r="C31" s="31" t="s">
        <v>78</v>
      </c>
      <c r="D31" s="31"/>
      <c r="E31" s="31"/>
      <c r="F31" s="31"/>
      <c r="G31" s="44">
        <v>1391</v>
      </c>
      <c r="H31" s="44"/>
      <c r="I31" s="44"/>
      <c r="J31" s="75">
        <v>3751</v>
      </c>
      <c r="K31" s="76">
        <f t="shared" si="19"/>
        <v>750.2</v>
      </c>
      <c r="L31" s="76">
        <f t="shared" si="20"/>
        <v>750.2</v>
      </c>
      <c r="M31" s="76">
        <f t="shared" si="21"/>
        <v>0</v>
      </c>
      <c r="N31" s="76">
        <f t="shared" si="22"/>
        <v>0</v>
      </c>
      <c r="O31" s="76">
        <f t="shared" si="23"/>
        <v>0</v>
      </c>
      <c r="P31" s="76">
        <f t="shared" si="24"/>
        <v>0</v>
      </c>
      <c r="Q31" s="44">
        <v>201</v>
      </c>
      <c r="R31" s="76">
        <v>0</v>
      </c>
      <c r="S31" s="76">
        <f t="shared" si="25"/>
        <v>0</v>
      </c>
      <c r="T31" s="76"/>
      <c r="U31" s="76"/>
      <c r="V31" s="76"/>
      <c r="W31" s="76"/>
      <c r="X31" s="44">
        <f t="shared" si="31"/>
        <v>54.5361397308195</v>
      </c>
      <c r="Y31" s="76">
        <v>17440</v>
      </c>
      <c r="Z31" s="103">
        <f t="shared" si="26"/>
        <v>0</v>
      </c>
      <c r="AA31" s="44">
        <f t="shared" si="32"/>
        <v>0</v>
      </c>
      <c r="AB31" s="44"/>
      <c r="AC31" s="44"/>
      <c r="AD31" s="44"/>
      <c r="AE31" s="76"/>
      <c r="AF31" s="44"/>
      <c r="AG31" s="44">
        <f>VLOOKUP(B:B,[2]Sheet2!$B:$E,4,0)</f>
        <v>6</v>
      </c>
      <c r="AH31" s="44">
        <f t="shared" si="27"/>
        <v>60.1805416248746</v>
      </c>
      <c r="AI31" s="44"/>
      <c r="AJ31" s="115">
        <f>VLOOKUP(B:B,'[1]扶贫资金项目情况调度统计表 (2)'!$B:$I,8,0)</f>
        <v>0.885604362177033</v>
      </c>
      <c r="AK31" s="44">
        <f t="shared" si="28"/>
        <v>271.703250595701</v>
      </c>
      <c r="AL31" s="76">
        <v>89.48</v>
      </c>
      <c r="AM31" s="44">
        <f t="shared" si="29"/>
        <v>249.13230723493</v>
      </c>
      <c r="AN31" s="67">
        <f t="shared" si="30"/>
        <v>636</v>
      </c>
      <c r="AO31" s="44" t="e">
        <f>#REF!*1254933/1408452</f>
        <v>#REF!</v>
      </c>
      <c r="AP31" s="44" t="e">
        <f t="shared" si="12"/>
        <v>#REF!</v>
      </c>
      <c r="AQ31" s="126" t="e">
        <f t="shared" si="13"/>
        <v>#REF!</v>
      </c>
      <c r="AR31" s="44">
        <v>0</v>
      </c>
      <c r="AS31" s="44">
        <v>0</v>
      </c>
      <c r="AT31" s="44">
        <v>0</v>
      </c>
      <c r="AU31" s="127">
        <f t="shared" si="14"/>
        <v>636</v>
      </c>
    </row>
    <row r="32" ht="17" customHeight="1" spans="1:47">
      <c r="A32" s="31">
        <v>11</v>
      </c>
      <c r="B32" s="51" t="s">
        <v>77</v>
      </c>
      <c r="C32" s="31" t="s">
        <v>78</v>
      </c>
      <c r="D32" s="31"/>
      <c r="E32" s="31"/>
      <c r="F32" s="31"/>
      <c r="G32" s="44">
        <v>1308</v>
      </c>
      <c r="H32" s="44"/>
      <c r="I32" s="44"/>
      <c r="J32" s="75">
        <v>3050</v>
      </c>
      <c r="K32" s="76">
        <f t="shared" si="19"/>
        <v>610</v>
      </c>
      <c r="L32" s="76">
        <f t="shared" si="20"/>
        <v>610</v>
      </c>
      <c r="M32" s="76">
        <f t="shared" si="21"/>
        <v>0</v>
      </c>
      <c r="N32" s="76">
        <f t="shared" si="22"/>
        <v>0</v>
      </c>
      <c r="O32" s="76">
        <f t="shared" si="23"/>
        <v>0</v>
      </c>
      <c r="P32" s="76">
        <f t="shared" si="24"/>
        <v>0</v>
      </c>
      <c r="Q32" s="44">
        <v>439</v>
      </c>
      <c r="R32" s="76">
        <v>251</v>
      </c>
      <c r="S32" s="76">
        <f t="shared" si="25"/>
        <v>100.4</v>
      </c>
      <c r="T32" s="76">
        <f t="shared" si="33"/>
        <v>100.4</v>
      </c>
      <c r="U32" s="76"/>
      <c r="V32" s="76"/>
      <c r="W32" s="76"/>
      <c r="X32" s="44">
        <f t="shared" si="31"/>
        <v>71.8712496065313</v>
      </c>
      <c r="Y32" s="76">
        <v>17239</v>
      </c>
      <c r="Z32" s="103">
        <f t="shared" si="26"/>
        <v>0</v>
      </c>
      <c r="AA32" s="44">
        <f t="shared" si="32"/>
        <v>0</v>
      </c>
      <c r="AB32" s="44"/>
      <c r="AC32" s="44"/>
      <c r="AD32" s="44"/>
      <c r="AE32" s="76"/>
      <c r="AF32" s="44"/>
      <c r="AG32" s="44">
        <f>VLOOKUP(B:B,[2]Sheet2!$B:$E,4,0)</f>
        <v>8</v>
      </c>
      <c r="AH32" s="44">
        <f t="shared" si="27"/>
        <v>80.2407221664995</v>
      </c>
      <c r="AI32" s="44"/>
      <c r="AJ32" s="115">
        <f>VLOOKUP(B:B,'[1]扶贫资金项目情况调度统计表 (2)'!$B:$I,8,0)</f>
        <v>0.889332178959191</v>
      </c>
      <c r="AK32" s="44">
        <f t="shared" si="28"/>
        <v>272.846944078474</v>
      </c>
      <c r="AL32" s="76">
        <v>90.68</v>
      </c>
      <c r="AM32" s="44">
        <f t="shared" si="29"/>
        <v>252.473375280101</v>
      </c>
      <c r="AN32" s="67">
        <f t="shared" si="30"/>
        <v>677</v>
      </c>
      <c r="AO32" s="44" t="e">
        <f>#REF!*1254933/1408452</f>
        <v>#REF!</v>
      </c>
      <c r="AP32" s="44" t="e">
        <f t="shared" si="12"/>
        <v>#REF!</v>
      </c>
      <c r="AQ32" s="126" t="e">
        <f t="shared" si="13"/>
        <v>#REF!</v>
      </c>
      <c r="AR32" s="44">
        <v>0</v>
      </c>
      <c r="AS32" s="44">
        <v>0</v>
      </c>
      <c r="AT32" s="44">
        <v>0</v>
      </c>
      <c r="AU32" s="127">
        <f t="shared" si="14"/>
        <v>677</v>
      </c>
    </row>
    <row r="33" ht="17" customHeight="1" spans="1:47">
      <c r="A33" s="31">
        <v>12</v>
      </c>
      <c r="B33" s="51" t="s">
        <v>79</v>
      </c>
      <c r="C33" s="31" t="s">
        <v>90</v>
      </c>
      <c r="D33" s="31">
        <v>2018</v>
      </c>
      <c r="E33" s="31" t="s">
        <v>91</v>
      </c>
      <c r="F33" s="31"/>
      <c r="G33" s="44">
        <v>15344</v>
      </c>
      <c r="H33" s="44"/>
      <c r="I33" s="44"/>
      <c r="J33" s="75">
        <v>81053</v>
      </c>
      <c r="K33" s="76">
        <f t="shared" si="19"/>
        <v>48631.8</v>
      </c>
      <c r="L33" s="76">
        <f t="shared" si="20"/>
        <v>0</v>
      </c>
      <c r="M33" s="76">
        <f t="shared" si="21"/>
        <v>0</v>
      </c>
      <c r="N33" s="76">
        <f t="shared" si="22"/>
        <v>48631.8</v>
      </c>
      <c r="O33" s="76">
        <f t="shared" si="23"/>
        <v>0</v>
      </c>
      <c r="P33" s="76">
        <f t="shared" si="24"/>
        <v>0</v>
      </c>
      <c r="Q33" s="44">
        <v>4852</v>
      </c>
      <c r="R33" s="76">
        <v>1833</v>
      </c>
      <c r="S33" s="76">
        <f t="shared" si="25"/>
        <v>1099.8</v>
      </c>
      <c r="T33" s="76"/>
      <c r="U33" s="76">
        <f>R33*0.6</f>
        <v>1099.8</v>
      </c>
      <c r="V33" s="76"/>
      <c r="W33" s="76"/>
      <c r="X33" s="44">
        <f t="shared" si="31"/>
        <v>2993.41184409429</v>
      </c>
      <c r="Y33" s="76">
        <v>10553</v>
      </c>
      <c r="Z33" s="103">
        <f t="shared" si="26"/>
        <v>0.433112582781457</v>
      </c>
      <c r="AA33" s="44">
        <f t="shared" si="32"/>
        <v>6020.20672115687</v>
      </c>
      <c r="AB33" s="44"/>
      <c r="AC33" s="44"/>
      <c r="AD33" s="44"/>
      <c r="AE33" s="76">
        <f>K33*0.6</f>
        <v>29179.08</v>
      </c>
      <c r="AF33" s="44">
        <f t="shared" ref="AF33:AF35" si="34">AE33/$AE$10*372626.55</f>
        <v>3039.46122812528</v>
      </c>
      <c r="AG33" s="44">
        <f>VLOOKUP(B:B,[2]Sheet2!$B:$E,4,0)</f>
        <v>5</v>
      </c>
      <c r="AH33" s="44">
        <f t="shared" si="27"/>
        <v>50.1504513540622</v>
      </c>
      <c r="AI33" s="44"/>
      <c r="AJ33" s="115">
        <f>VLOOKUP(B:B,'[1]扶贫资金项目情况调度统计表 (2)'!$B:$I,8,0)</f>
        <v>0.59950438700498</v>
      </c>
      <c r="AK33" s="44">
        <f t="shared" si="28"/>
        <v>183.927832395969</v>
      </c>
      <c r="AL33" s="76">
        <v>82.25</v>
      </c>
      <c r="AM33" s="44">
        <f t="shared" si="29"/>
        <v>229.002372262774</v>
      </c>
      <c r="AN33" s="67">
        <f t="shared" si="30"/>
        <v>12516</v>
      </c>
      <c r="AO33" s="44" t="e">
        <f>#REF!*1254933/1408452</f>
        <v>#REF!</v>
      </c>
      <c r="AP33" s="44" t="e">
        <f t="shared" si="12"/>
        <v>#REF!</v>
      </c>
      <c r="AQ33" s="126" t="e">
        <f t="shared" si="13"/>
        <v>#REF!</v>
      </c>
      <c r="AR33" s="44">
        <v>793</v>
      </c>
      <c r="AS33" s="44">
        <v>0</v>
      </c>
      <c r="AT33" s="44">
        <v>0</v>
      </c>
      <c r="AU33" s="127">
        <f t="shared" si="14"/>
        <v>13309</v>
      </c>
    </row>
    <row r="34" s="8" customFormat="1" ht="17" customHeight="1" spans="1:47">
      <c r="A34" s="52">
        <v>13</v>
      </c>
      <c r="B34" s="53" t="s">
        <v>65</v>
      </c>
      <c r="C34" s="52" t="s">
        <v>93</v>
      </c>
      <c r="D34" s="52">
        <v>2018</v>
      </c>
      <c r="E34" s="31" t="s">
        <v>94</v>
      </c>
      <c r="F34" s="31"/>
      <c r="G34" s="44">
        <v>22972</v>
      </c>
      <c r="H34" s="44"/>
      <c r="I34" s="44"/>
      <c r="J34" s="75">
        <v>93751</v>
      </c>
      <c r="K34" s="76">
        <f t="shared" si="19"/>
        <v>56250.6</v>
      </c>
      <c r="L34" s="76">
        <f t="shared" si="20"/>
        <v>0</v>
      </c>
      <c r="M34" s="76">
        <f t="shared" si="21"/>
        <v>0</v>
      </c>
      <c r="N34" s="76">
        <f t="shared" si="22"/>
        <v>56250.6</v>
      </c>
      <c r="O34" s="76">
        <f t="shared" si="23"/>
        <v>0</v>
      </c>
      <c r="P34" s="76">
        <f t="shared" si="24"/>
        <v>0</v>
      </c>
      <c r="Q34" s="44">
        <v>13932</v>
      </c>
      <c r="R34" s="76">
        <v>18112</v>
      </c>
      <c r="S34" s="76">
        <f t="shared" si="25"/>
        <v>18112</v>
      </c>
      <c r="T34" s="76"/>
      <c r="U34" s="76">
        <f>IF(AND(R34&gt;=800,R34&lt;3000),R34*0.6,0)</f>
        <v>0</v>
      </c>
      <c r="V34" s="76"/>
      <c r="W34" s="76">
        <f>R34*1</f>
        <v>18112</v>
      </c>
      <c r="X34" s="44">
        <f t="shared" si="31"/>
        <v>5224.39325626566</v>
      </c>
      <c r="Y34" s="76">
        <v>10243</v>
      </c>
      <c r="Z34" s="103">
        <f t="shared" si="26"/>
        <v>0.491769157994324</v>
      </c>
      <c r="AA34" s="44">
        <f t="shared" si="32"/>
        <v>6835.52523734675</v>
      </c>
      <c r="AB34" s="44"/>
      <c r="AC34" s="44"/>
      <c r="AD34" s="44">
        <v>1800</v>
      </c>
      <c r="AE34" s="76">
        <f>K34</f>
        <v>56250.6</v>
      </c>
      <c r="AF34" s="44">
        <f t="shared" si="34"/>
        <v>5859.3868538276</v>
      </c>
      <c r="AG34" s="44">
        <f>VLOOKUP(B:B,[2]Sheet2!$B:$E,4,0)</f>
        <v>7</v>
      </c>
      <c r="AH34" s="44">
        <f t="shared" si="27"/>
        <v>70.2106318956871</v>
      </c>
      <c r="AI34" s="44"/>
      <c r="AJ34" s="115">
        <f>VLOOKUP(B:B,'[1]扶贫资金项目情况调度统计表 (2)'!$B:$I,8,0)</f>
        <v>0.963793361988697</v>
      </c>
      <c r="AK34" s="44">
        <f t="shared" si="28"/>
        <v>295.691620930093</v>
      </c>
      <c r="AL34" s="76">
        <v>92.24</v>
      </c>
      <c r="AM34" s="44">
        <f t="shared" si="29"/>
        <v>256.816763738824</v>
      </c>
      <c r="AN34" s="67">
        <f t="shared" si="30"/>
        <v>20342</v>
      </c>
      <c r="AO34" s="44" t="e">
        <f>#REF!*1254933/1408452</f>
        <v>#REF!</v>
      </c>
      <c r="AP34" s="44" t="e">
        <f t="shared" si="12"/>
        <v>#REF!</v>
      </c>
      <c r="AQ34" s="126" t="e">
        <f t="shared" si="13"/>
        <v>#REF!</v>
      </c>
      <c r="AR34" s="44">
        <v>0</v>
      </c>
      <c r="AS34" s="44">
        <v>0</v>
      </c>
      <c r="AT34" s="44">
        <v>0</v>
      </c>
      <c r="AU34" s="127">
        <f t="shared" si="14"/>
        <v>20342</v>
      </c>
    </row>
    <row r="35" ht="17" customHeight="1" spans="1:47">
      <c r="A35" s="31">
        <v>14</v>
      </c>
      <c r="B35" s="51" t="s">
        <v>80</v>
      </c>
      <c r="C35" s="31" t="s">
        <v>90</v>
      </c>
      <c r="D35" s="31">
        <v>2017</v>
      </c>
      <c r="E35" s="31" t="s">
        <v>91</v>
      </c>
      <c r="F35" s="31"/>
      <c r="G35" s="44">
        <v>19058</v>
      </c>
      <c r="H35" s="44"/>
      <c r="I35" s="44"/>
      <c r="J35" s="75">
        <v>122405</v>
      </c>
      <c r="K35" s="76">
        <f t="shared" si="19"/>
        <v>48962</v>
      </c>
      <c r="L35" s="76">
        <f t="shared" si="20"/>
        <v>0</v>
      </c>
      <c r="M35" s="76">
        <f t="shared" si="21"/>
        <v>48962</v>
      </c>
      <c r="N35" s="76">
        <f t="shared" si="22"/>
        <v>0</v>
      </c>
      <c r="O35" s="76">
        <f t="shared" si="23"/>
        <v>0</v>
      </c>
      <c r="P35" s="76">
        <f t="shared" si="24"/>
        <v>0</v>
      </c>
      <c r="Q35" s="44">
        <v>5826</v>
      </c>
      <c r="R35" s="76">
        <v>2841</v>
      </c>
      <c r="S35" s="76">
        <f t="shared" si="25"/>
        <v>1704.6</v>
      </c>
      <c r="T35" s="76"/>
      <c r="U35" s="76">
        <f>R35*0.6</f>
        <v>1704.6</v>
      </c>
      <c r="V35" s="76"/>
      <c r="W35" s="76"/>
      <c r="X35" s="44">
        <f t="shared" si="31"/>
        <v>3124.89689465275</v>
      </c>
      <c r="Y35" s="76">
        <v>10847</v>
      </c>
      <c r="Z35" s="103">
        <f t="shared" si="26"/>
        <v>0.377483443708609</v>
      </c>
      <c r="AA35" s="44">
        <f t="shared" si="32"/>
        <v>5246.9691606413</v>
      </c>
      <c r="AB35" s="44"/>
      <c r="AC35" s="44"/>
      <c r="AD35" s="44"/>
      <c r="AE35" s="76">
        <f>K35*0.6</f>
        <v>29377.2</v>
      </c>
      <c r="AF35" s="44">
        <f t="shared" si="34"/>
        <v>3060.09854974461</v>
      </c>
      <c r="AG35" s="44">
        <f>VLOOKUP(B:B,[2]Sheet2!$B:$E,4,0)</f>
        <v>8</v>
      </c>
      <c r="AH35" s="44">
        <f t="shared" si="27"/>
        <v>80.2407221664995</v>
      </c>
      <c r="AI35" s="44"/>
      <c r="AJ35" s="115">
        <f>VLOOKUP(B:B,'[1]扶贫资金项目情况调度统计表 (2)'!$B:$I,8,0)</f>
        <v>0.815700851773978</v>
      </c>
      <c r="AK35" s="44">
        <f t="shared" si="28"/>
        <v>250.256866842723</v>
      </c>
      <c r="AL35" s="76">
        <v>89.5</v>
      </c>
      <c r="AM35" s="44">
        <f t="shared" si="29"/>
        <v>249.18799170235</v>
      </c>
      <c r="AN35" s="67">
        <f t="shared" si="30"/>
        <v>12012</v>
      </c>
      <c r="AO35" s="44" t="e">
        <f>#REF!*1254933/1408452</f>
        <v>#REF!</v>
      </c>
      <c r="AP35" s="44" t="e">
        <f t="shared" si="12"/>
        <v>#REF!</v>
      </c>
      <c r="AQ35" s="126" t="e">
        <f t="shared" si="13"/>
        <v>#REF!</v>
      </c>
      <c r="AR35" s="44">
        <v>1171</v>
      </c>
      <c r="AS35" s="44">
        <v>0</v>
      </c>
      <c r="AT35" s="44">
        <v>0</v>
      </c>
      <c r="AU35" s="127">
        <f t="shared" si="14"/>
        <v>13183</v>
      </c>
    </row>
    <row r="36" s="6" customFormat="1" ht="17" customHeight="1" spans="1:85">
      <c r="A36" s="39"/>
      <c r="B36" s="40" t="s">
        <v>82</v>
      </c>
      <c r="C36" s="41">
        <v>1</v>
      </c>
      <c r="D36" s="41"/>
      <c r="E36" s="41"/>
      <c r="F36" s="41"/>
      <c r="G36" s="43">
        <v>364256</v>
      </c>
      <c r="H36" s="43">
        <f>H37+H38</f>
        <v>0</v>
      </c>
      <c r="I36" s="43">
        <f>I37+I38</f>
        <v>0</v>
      </c>
      <c r="J36" s="54">
        <f t="shared" ref="J36:X36" si="35">J37+J38</f>
        <v>1520677</v>
      </c>
      <c r="K36" s="77">
        <f t="shared" si="35"/>
        <v>1278661.6</v>
      </c>
      <c r="L36" s="77">
        <f t="shared" si="35"/>
        <v>2262.2</v>
      </c>
      <c r="M36" s="77">
        <f t="shared" si="35"/>
        <v>0</v>
      </c>
      <c r="N36" s="77">
        <f t="shared" si="35"/>
        <v>57650.4</v>
      </c>
      <c r="O36" s="77">
        <f t="shared" si="35"/>
        <v>778132</v>
      </c>
      <c r="P36" s="77">
        <f t="shared" si="35"/>
        <v>440617</v>
      </c>
      <c r="Q36" s="43">
        <v>225041</v>
      </c>
      <c r="R36" s="77">
        <f t="shared" si="35"/>
        <v>306956</v>
      </c>
      <c r="S36" s="77">
        <f t="shared" si="35"/>
        <v>304638.2</v>
      </c>
      <c r="T36" s="77">
        <f t="shared" si="35"/>
        <v>0</v>
      </c>
      <c r="U36" s="77">
        <f t="shared" si="35"/>
        <v>1014.6</v>
      </c>
      <c r="V36" s="77">
        <f t="shared" si="35"/>
        <v>6565.6</v>
      </c>
      <c r="W36" s="77">
        <f t="shared" si="35"/>
        <v>297058</v>
      </c>
      <c r="X36" s="43">
        <f t="shared" si="35"/>
        <v>104635.39213973</v>
      </c>
      <c r="Y36" s="77"/>
      <c r="Z36" s="104">
        <f t="shared" ref="Z36:AD36" si="36">Z37+Z38</f>
        <v>2.9682119205298</v>
      </c>
      <c r="AA36" s="43">
        <f t="shared" si="36"/>
        <v>41257.7469789374</v>
      </c>
      <c r="AB36" s="43">
        <v>0</v>
      </c>
      <c r="AC36" s="43">
        <f t="shared" si="36"/>
        <v>0</v>
      </c>
      <c r="AD36" s="43">
        <f t="shared" si="36"/>
        <v>14400</v>
      </c>
      <c r="AE36" s="54">
        <f t="shared" ref="AE36:AI36" si="37">AE37+AE38</f>
        <v>1253339.24</v>
      </c>
      <c r="AF36" s="43">
        <f t="shared" si="37"/>
        <v>130555.0423683</v>
      </c>
      <c r="AG36" s="43">
        <f t="shared" si="37"/>
        <v>72</v>
      </c>
      <c r="AH36" s="43">
        <f t="shared" si="37"/>
        <v>722.166499498495</v>
      </c>
      <c r="AI36" s="43">
        <f t="shared" si="37"/>
        <v>0</v>
      </c>
      <c r="AJ36" s="118"/>
      <c r="AK36" s="43">
        <f t="shared" ref="AK36:AO36" si="38">AK37+AK38</f>
        <v>2869.17141276936</v>
      </c>
      <c r="AL36" s="54">
        <f t="shared" si="38"/>
        <v>984.82</v>
      </c>
      <c r="AM36" s="43">
        <f t="shared" si="38"/>
        <v>2741.95886020456</v>
      </c>
      <c r="AN36" s="119">
        <f t="shared" si="38"/>
        <v>297180</v>
      </c>
      <c r="AO36" s="43" t="e">
        <f t="shared" si="38"/>
        <v>#REF!</v>
      </c>
      <c r="AP36" s="86" t="e">
        <f t="shared" si="12"/>
        <v>#REF!</v>
      </c>
      <c r="AQ36" s="125" t="e">
        <f t="shared" si="13"/>
        <v>#REF!</v>
      </c>
      <c r="AR36" s="43">
        <v>3917</v>
      </c>
      <c r="AS36" s="43">
        <v>0</v>
      </c>
      <c r="AT36" s="43">
        <v>0</v>
      </c>
      <c r="AU36" s="43">
        <f>AU37+AU38</f>
        <v>301097</v>
      </c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</row>
    <row r="37" ht="17" customHeight="1" spans="1:47">
      <c r="A37" s="29"/>
      <c r="B37" s="30" t="s">
        <v>83</v>
      </c>
      <c r="C37" s="31">
        <v>2</v>
      </c>
      <c r="D37" s="31"/>
      <c r="E37" s="31"/>
      <c r="F37" s="31"/>
      <c r="G37" s="44">
        <v>31618</v>
      </c>
      <c r="H37" s="44"/>
      <c r="I37" s="44"/>
      <c r="J37" s="75"/>
      <c r="K37" s="76">
        <f t="shared" ref="K37:K49" si="39">SUM(L37:P37)</f>
        <v>0</v>
      </c>
      <c r="L37" s="76">
        <f t="shared" ref="L37:L49" si="40">IF(D37="",J37*0.2,0)</f>
        <v>0</v>
      </c>
      <c r="M37" s="76">
        <f t="shared" ref="M37:M49" si="41">IF(D37=2017,J37*0.4,0)</f>
        <v>0</v>
      </c>
      <c r="N37" s="76">
        <f t="shared" ref="N37:N49" si="42">IF(D37=2018,J37*0.6,0)</f>
        <v>0</v>
      </c>
      <c r="O37" s="76">
        <f t="shared" ref="O37:O49" si="43">IF(D37=2019,J37*0.8,0)</f>
        <v>0</v>
      </c>
      <c r="P37" s="76">
        <f t="shared" ref="P37:P49" si="44">IF(D37=2020,J37*1,0)</f>
        <v>0</v>
      </c>
      <c r="Q37" s="44"/>
      <c r="R37" s="76"/>
      <c r="S37" s="76">
        <f>O37*0.4+P37*0.6+Q37*0.8+R37*1</f>
        <v>0</v>
      </c>
      <c r="T37" s="76">
        <f>R37-U37-V37-W37</f>
        <v>0</v>
      </c>
      <c r="U37" s="76"/>
      <c r="V37" s="76"/>
      <c r="W37" s="76"/>
      <c r="X37" s="44"/>
      <c r="Y37" s="76"/>
      <c r="Z37" s="103"/>
      <c r="AA37" s="44"/>
      <c r="AB37" s="44"/>
      <c r="AC37" s="44"/>
      <c r="AD37" s="44"/>
      <c r="AE37" s="76"/>
      <c r="AF37" s="44"/>
      <c r="AG37" s="44"/>
      <c r="AH37" s="44"/>
      <c r="AI37" s="44"/>
      <c r="AJ37" s="115"/>
      <c r="AK37" s="44"/>
      <c r="AL37" s="76"/>
      <c r="AM37" s="44"/>
      <c r="AN37" s="44"/>
      <c r="AO37" s="44"/>
      <c r="AP37" s="86">
        <f t="shared" si="12"/>
        <v>0</v>
      </c>
      <c r="AQ37" s="125"/>
      <c r="AR37" s="44"/>
      <c r="AS37" s="44"/>
      <c r="AT37" s="44"/>
      <c r="AU37" s="127">
        <f t="shared" ref="AU37:AU49" si="45">AT37+AS37+AR37+AN37</f>
        <v>0</v>
      </c>
    </row>
    <row r="38" s="7" customFormat="1" ht="17" customHeight="1" spans="1:85">
      <c r="A38" s="45"/>
      <c r="B38" s="46" t="s">
        <v>76</v>
      </c>
      <c r="C38" s="47">
        <v>3</v>
      </c>
      <c r="D38" s="47"/>
      <c r="E38" s="47"/>
      <c r="F38" s="47"/>
      <c r="G38" s="49">
        <v>332638</v>
      </c>
      <c r="H38" s="49">
        <f>SUM(H39:H49)</f>
        <v>0</v>
      </c>
      <c r="I38" s="49">
        <f>SUM(I39:I49)</f>
        <v>0</v>
      </c>
      <c r="J38" s="55">
        <f t="shared" ref="J38:X38" si="46">SUM(J39:J49)</f>
        <v>1520677</v>
      </c>
      <c r="K38" s="78">
        <f t="shared" si="46"/>
        <v>1278661.6</v>
      </c>
      <c r="L38" s="78">
        <f t="shared" si="46"/>
        <v>2262.2</v>
      </c>
      <c r="M38" s="78">
        <f t="shared" si="46"/>
        <v>0</v>
      </c>
      <c r="N38" s="78">
        <f t="shared" si="46"/>
        <v>57650.4</v>
      </c>
      <c r="O38" s="78">
        <f t="shared" si="46"/>
        <v>778132</v>
      </c>
      <c r="P38" s="78">
        <f t="shared" si="46"/>
        <v>440617</v>
      </c>
      <c r="Q38" s="49">
        <v>225041</v>
      </c>
      <c r="R38" s="78">
        <f t="shared" si="46"/>
        <v>306956</v>
      </c>
      <c r="S38" s="78">
        <f t="shared" si="46"/>
        <v>304638.2</v>
      </c>
      <c r="T38" s="78">
        <f t="shared" si="46"/>
        <v>0</v>
      </c>
      <c r="U38" s="78">
        <f t="shared" si="46"/>
        <v>1014.6</v>
      </c>
      <c r="V38" s="78">
        <f t="shared" si="46"/>
        <v>6565.6</v>
      </c>
      <c r="W38" s="78">
        <f t="shared" si="46"/>
        <v>297058</v>
      </c>
      <c r="X38" s="49">
        <f t="shared" si="46"/>
        <v>104635.39213973</v>
      </c>
      <c r="Y38" s="78"/>
      <c r="Z38" s="105">
        <f t="shared" ref="Z38:AD38" si="47">SUM(Z39:Z49)</f>
        <v>2.9682119205298</v>
      </c>
      <c r="AA38" s="49">
        <f t="shared" si="47"/>
        <v>41257.7469789374</v>
      </c>
      <c r="AB38" s="49">
        <v>0</v>
      </c>
      <c r="AC38" s="49">
        <f t="shared" si="47"/>
        <v>0</v>
      </c>
      <c r="AD38" s="49">
        <f t="shared" si="47"/>
        <v>14400</v>
      </c>
      <c r="AE38" s="55">
        <f t="shared" ref="AE38:AI38" si="48">SUM(AE39:AE49)</f>
        <v>1253339.24</v>
      </c>
      <c r="AF38" s="49">
        <f t="shared" si="48"/>
        <v>130555.0423683</v>
      </c>
      <c r="AG38" s="49">
        <f t="shared" si="48"/>
        <v>72</v>
      </c>
      <c r="AH38" s="49">
        <f t="shared" si="48"/>
        <v>722.166499498495</v>
      </c>
      <c r="AI38" s="49">
        <f t="shared" si="48"/>
        <v>0</v>
      </c>
      <c r="AJ38" s="120"/>
      <c r="AK38" s="49">
        <f t="shared" ref="AK38:AO38" si="49">SUM(AK39:AK49)</f>
        <v>2869.17141276936</v>
      </c>
      <c r="AL38" s="55">
        <f t="shared" si="49"/>
        <v>984.82</v>
      </c>
      <c r="AM38" s="49">
        <f t="shared" si="49"/>
        <v>2741.95886020456</v>
      </c>
      <c r="AN38" s="121">
        <f t="shared" si="49"/>
        <v>297180</v>
      </c>
      <c r="AO38" s="49" t="e">
        <f t="shared" si="49"/>
        <v>#REF!</v>
      </c>
      <c r="AP38" s="86" t="e">
        <f t="shared" si="12"/>
        <v>#REF!</v>
      </c>
      <c r="AQ38" s="125" t="e">
        <f t="shared" si="13"/>
        <v>#REF!</v>
      </c>
      <c r="AR38" s="49">
        <v>3917</v>
      </c>
      <c r="AS38" s="49">
        <v>0</v>
      </c>
      <c r="AT38" s="49">
        <v>0</v>
      </c>
      <c r="AU38" s="49">
        <f>SUM(AU39:AU49)</f>
        <v>301097</v>
      </c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</row>
    <row r="39" ht="17" customHeight="1" spans="1:47">
      <c r="A39" s="31">
        <v>15</v>
      </c>
      <c r="B39" s="51" t="s">
        <v>84</v>
      </c>
      <c r="C39" s="31" t="s">
        <v>93</v>
      </c>
      <c r="D39" s="31">
        <v>2019</v>
      </c>
      <c r="E39" s="31" t="s">
        <v>94</v>
      </c>
      <c r="F39" s="31"/>
      <c r="G39" s="44">
        <v>37732</v>
      </c>
      <c r="H39" s="44"/>
      <c r="I39" s="44"/>
      <c r="J39" s="75">
        <v>179608</v>
      </c>
      <c r="K39" s="76">
        <f t="shared" si="39"/>
        <v>143686.4</v>
      </c>
      <c r="L39" s="76">
        <f t="shared" si="40"/>
        <v>0</v>
      </c>
      <c r="M39" s="76">
        <f t="shared" si="41"/>
        <v>0</v>
      </c>
      <c r="N39" s="76">
        <f t="shared" si="42"/>
        <v>0</v>
      </c>
      <c r="O39" s="76">
        <f t="shared" si="43"/>
        <v>143686.4</v>
      </c>
      <c r="P39" s="76">
        <f t="shared" si="44"/>
        <v>0</v>
      </c>
      <c r="Q39" s="44">
        <v>17619</v>
      </c>
      <c r="R39" s="76">
        <v>34418</v>
      </c>
      <c r="S39" s="76">
        <f t="shared" ref="S39:S49" si="50">T39+U39+V39+W39</f>
        <v>34418</v>
      </c>
      <c r="T39" s="76"/>
      <c r="U39" s="76"/>
      <c r="V39" s="76"/>
      <c r="W39" s="76">
        <f t="shared" ref="W39:W44" si="51">R39*1</f>
        <v>34418</v>
      </c>
      <c r="X39" s="44">
        <f t="shared" ref="X39:X49" si="52">(K39/$K$10*0.2+Q39/$Q$10*0.05+S39/$S$10*0.05)*1254933</f>
        <v>11192.871895964</v>
      </c>
      <c r="Y39" s="76">
        <v>12657</v>
      </c>
      <c r="Z39" s="103">
        <f t="shared" ref="Z39:Z49" si="53">IF(Y39&lt;12842,(12842-Y39)/(12842-$Y$176),0)</f>
        <v>0.0350047303689688</v>
      </c>
      <c r="AA39" s="44">
        <f t="shared" ref="AA39:AA49" si="54">(Z39/$Z$10*0.2)*1254933</f>
        <v>486.561049984282</v>
      </c>
      <c r="AB39" s="44"/>
      <c r="AC39" s="44"/>
      <c r="AD39" s="44">
        <v>1800</v>
      </c>
      <c r="AE39" s="76">
        <f t="shared" ref="AE39:AE48" si="55">K39</f>
        <v>143686.4</v>
      </c>
      <c r="AF39" s="44">
        <f t="shared" ref="AF39:AF48" si="56">AE39/$AE$10*372626.55</f>
        <v>14967.20396287</v>
      </c>
      <c r="AG39" s="44">
        <f>VLOOKUP(B:B,[2]Sheet2!$B:$E,4,0)</f>
        <v>8</v>
      </c>
      <c r="AH39" s="44">
        <f t="shared" ref="AH39:AH49" si="57">AG39/$AG$10*10000</f>
        <v>80.2407221664995</v>
      </c>
      <c r="AI39" s="44"/>
      <c r="AJ39" s="115">
        <f>VLOOKUP(B:B,'[1]扶贫资金项目情况调度统计表 (2)'!$B:$I,8,0)</f>
        <v>0.932189643131775</v>
      </c>
      <c r="AK39" s="44">
        <f t="shared" ref="AK39:AK49" si="58">AJ39/$AJ$10*0.025*1254933</f>
        <v>285.995605970061</v>
      </c>
      <c r="AL39" s="76">
        <v>89.01</v>
      </c>
      <c r="AM39" s="44">
        <f t="shared" ref="AM39:AM49" si="59">(AL39/$AL$10)*0.025*1254933</f>
        <v>247.823722250571</v>
      </c>
      <c r="AN39" s="67">
        <f t="shared" ref="AN39:AN49" si="60">ROUND(AM39+AK39+AI39+AF39+AH39+AD39+AC39+AA39+X39,0)</f>
        <v>29061</v>
      </c>
      <c r="AO39" s="44" t="e">
        <f>#REF!*1254933/1408452</f>
        <v>#REF!</v>
      </c>
      <c r="AP39" s="44" t="e">
        <f t="shared" si="12"/>
        <v>#REF!</v>
      </c>
      <c r="AQ39" s="126" t="e">
        <f t="shared" si="13"/>
        <v>#REF!</v>
      </c>
      <c r="AR39" s="44">
        <v>562</v>
      </c>
      <c r="AS39" s="44">
        <v>0</v>
      </c>
      <c r="AT39" s="44">
        <v>0</v>
      </c>
      <c r="AU39" s="127">
        <f t="shared" si="45"/>
        <v>29623</v>
      </c>
    </row>
    <row r="40" ht="17" customHeight="1" spans="1:47">
      <c r="A40" s="31">
        <v>16</v>
      </c>
      <c r="B40" s="51" t="s">
        <v>85</v>
      </c>
      <c r="C40" s="31" t="s">
        <v>93</v>
      </c>
      <c r="D40" s="31">
        <v>2019</v>
      </c>
      <c r="E40" s="31" t="s">
        <v>94</v>
      </c>
      <c r="F40" s="31"/>
      <c r="G40" s="44">
        <v>25785</v>
      </c>
      <c r="H40" s="44"/>
      <c r="I40" s="44"/>
      <c r="J40" s="75">
        <v>99652</v>
      </c>
      <c r="K40" s="76">
        <f t="shared" si="39"/>
        <v>79721.6</v>
      </c>
      <c r="L40" s="76">
        <f t="shared" si="40"/>
        <v>0</v>
      </c>
      <c r="M40" s="76">
        <f t="shared" si="41"/>
        <v>0</v>
      </c>
      <c r="N40" s="76">
        <f t="shared" si="42"/>
        <v>0</v>
      </c>
      <c r="O40" s="76">
        <f t="shared" si="43"/>
        <v>79721.6</v>
      </c>
      <c r="P40" s="76">
        <f t="shared" si="44"/>
        <v>0</v>
      </c>
      <c r="Q40" s="44">
        <v>13634</v>
      </c>
      <c r="R40" s="76">
        <v>19688</v>
      </c>
      <c r="S40" s="76">
        <f t="shared" si="50"/>
        <v>19688</v>
      </c>
      <c r="T40" s="76"/>
      <c r="U40" s="76"/>
      <c r="V40" s="76"/>
      <c r="W40" s="76">
        <f t="shared" si="51"/>
        <v>19688</v>
      </c>
      <c r="X40" s="44">
        <f t="shared" si="52"/>
        <v>6540.70624760545</v>
      </c>
      <c r="Y40" s="76">
        <v>11335</v>
      </c>
      <c r="Z40" s="103">
        <f t="shared" si="53"/>
        <v>0.285146641438032</v>
      </c>
      <c r="AA40" s="44">
        <f t="shared" si="54"/>
        <v>3963.50001257466</v>
      </c>
      <c r="AB40" s="44"/>
      <c r="AC40" s="44"/>
      <c r="AD40" s="44">
        <v>1800</v>
      </c>
      <c r="AE40" s="76">
        <f t="shared" si="55"/>
        <v>79721.6</v>
      </c>
      <c r="AF40" s="44">
        <f t="shared" si="56"/>
        <v>8304.2615546519</v>
      </c>
      <c r="AG40" s="44">
        <f>VLOOKUP(B:B,[2]Sheet2!$B:$E,4,0)</f>
        <v>5</v>
      </c>
      <c r="AH40" s="44">
        <f t="shared" si="57"/>
        <v>50.1504513540622</v>
      </c>
      <c r="AI40" s="44"/>
      <c r="AJ40" s="115">
        <f>VLOOKUP(B:B,'[1]扶贫资金项目情况调度统计表 (2)'!$B:$I,8,0)</f>
        <v>0.811204606492605</v>
      </c>
      <c r="AK40" s="44">
        <f t="shared" si="58"/>
        <v>248.877419641919</v>
      </c>
      <c r="AL40" s="76">
        <v>90.15</v>
      </c>
      <c r="AM40" s="44">
        <f t="shared" si="59"/>
        <v>250.997736893484</v>
      </c>
      <c r="AN40" s="67">
        <f t="shared" si="60"/>
        <v>21158</v>
      </c>
      <c r="AO40" s="44" t="e">
        <f>#REF!*1254933/1408452</f>
        <v>#REF!</v>
      </c>
      <c r="AP40" s="44" t="e">
        <f t="shared" si="12"/>
        <v>#REF!</v>
      </c>
      <c r="AQ40" s="126" t="e">
        <f t="shared" si="13"/>
        <v>#REF!</v>
      </c>
      <c r="AR40" s="44">
        <v>509</v>
      </c>
      <c r="AS40" s="44">
        <v>0</v>
      </c>
      <c r="AT40" s="44">
        <v>0</v>
      </c>
      <c r="AU40" s="127">
        <f t="shared" si="45"/>
        <v>21667</v>
      </c>
    </row>
    <row r="41" ht="17" customHeight="1" spans="1:47">
      <c r="A41" s="31">
        <v>17</v>
      </c>
      <c r="B41" s="51" t="s">
        <v>86</v>
      </c>
      <c r="C41" s="31" t="s">
        <v>93</v>
      </c>
      <c r="D41" s="31">
        <v>2019</v>
      </c>
      <c r="E41" s="31" t="s">
        <v>94</v>
      </c>
      <c r="F41" s="31"/>
      <c r="G41" s="44">
        <v>26024</v>
      </c>
      <c r="H41" s="44"/>
      <c r="I41" s="44"/>
      <c r="J41" s="75">
        <v>143330</v>
      </c>
      <c r="K41" s="76">
        <f t="shared" si="39"/>
        <v>114664</v>
      </c>
      <c r="L41" s="76">
        <f t="shared" si="40"/>
        <v>0</v>
      </c>
      <c r="M41" s="76">
        <f t="shared" si="41"/>
        <v>0</v>
      </c>
      <c r="N41" s="76">
        <f t="shared" si="42"/>
        <v>0</v>
      </c>
      <c r="O41" s="76">
        <f t="shared" si="43"/>
        <v>114664</v>
      </c>
      <c r="P41" s="76">
        <f t="shared" si="44"/>
        <v>0</v>
      </c>
      <c r="Q41" s="44">
        <v>21682</v>
      </c>
      <c r="R41" s="76">
        <v>26169</v>
      </c>
      <c r="S41" s="76">
        <f t="shared" si="50"/>
        <v>26169</v>
      </c>
      <c r="T41" s="76"/>
      <c r="U41" s="76"/>
      <c r="V41" s="76"/>
      <c r="W41" s="76">
        <f t="shared" si="51"/>
        <v>26169</v>
      </c>
      <c r="X41" s="44">
        <f t="shared" si="52"/>
        <v>9418.79498376896</v>
      </c>
      <c r="Y41" s="76">
        <v>11195</v>
      </c>
      <c r="Z41" s="103">
        <f t="shared" si="53"/>
        <v>0.311636707663198</v>
      </c>
      <c r="AA41" s="44">
        <f t="shared" si="54"/>
        <v>4331.70837472493</v>
      </c>
      <c r="AB41" s="44"/>
      <c r="AC41" s="44"/>
      <c r="AD41" s="44">
        <v>1800</v>
      </c>
      <c r="AE41" s="76">
        <f t="shared" si="55"/>
        <v>114664</v>
      </c>
      <c r="AF41" s="44">
        <f t="shared" si="56"/>
        <v>11944.0634270086</v>
      </c>
      <c r="AG41" s="44">
        <f>VLOOKUP(B:B,[2]Sheet2!$B:$E,4,0)</f>
        <v>6</v>
      </c>
      <c r="AH41" s="44">
        <f t="shared" si="57"/>
        <v>60.1805416248746</v>
      </c>
      <c r="AI41" s="44"/>
      <c r="AJ41" s="115">
        <f>VLOOKUP(B:B,'[1]扶贫资金项目情况调度统计表 (2)'!$B:$I,8,0)</f>
        <v>0.825664580632691</v>
      </c>
      <c r="AK41" s="44">
        <f t="shared" si="58"/>
        <v>253.313736969595</v>
      </c>
      <c r="AL41" s="76">
        <v>86.34</v>
      </c>
      <c r="AM41" s="44">
        <f t="shared" si="59"/>
        <v>240.389845850065</v>
      </c>
      <c r="AN41" s="67">
        <f t="shared" si="60"/>
        <v>28048</v>
      </c>
      <c r="AO41" s="44" t="e">
        <f>#REF!*1254933/1408452</f>
        <v>#REF!</v>
      </c>
      <c r="AP41" s="44" t="e">
        <f t="shared" si="12"/>
        <v>#REF!</v>
      </c>
      <c r="AQ41" s="126" t="e">
        <f t="shared" si="13"/>
        <v>#REF!</v>
      </c>
      <c r="AR41" s="44">
        <v>0</v>
      </c>
      <c r="AS41" s="44">
        <v>0</v>
      </c>
      <c r="AT41" s="44">
        <v>0</v>
      </c>
      <c r="AU41" s="127">
        <f t="shared" si="45"/>
        <v>28048</v>
      </c>
    </row>
    <row r="42" ht="17" customHeight="1" spans="1:47">
      <c r="A42" s="31">
        <v>18</v>
      </c>
      <c r="B42" s="51" t="s">
        <v>87</v>
      </c>
      <c r="C42" s="31" t="s">
        <v>90</v>
      </c>
      <c r="D42" s="31">
        <v>2019</v>
      </c>
      <c r="E42" s="31" t="s">
        <v>94</v>
      </c>
      <c r="F42" s="31"/>
      <c r="G42" s="44">
        <v>21231</v>
      </c>
      <c r="H42" s="44"/>
      <c r="I42" s="44"/>
      <c r="J42" s="75">
        <v>93810</v>
      </c>
      <c r="K42" s="76">
        <f t="shared" si="39"/>
        <v>75048</v>
      </c>
      <c r="L42" s="76">
        <f t="shared" si="40"/>
        <v>0</v>
      </c>
      <c r="M42" s="76">
        <f t="shared" si="41"/>
        <v>0</v>
      </c>
      <c r="N42" s="76">
        <f t="shared" si="42"/>
        <v>0</v>
      </c>
      <c r="O42" s="76">
        <f t="shared" si="43"/>
        <v>75048</v>
      </c>
      <c r="P42" s="76">
        <f t="shared" si="44"/>
        <v>0</v>
      </c>
      <c r="Q42" s="44">
        <v>12223</v>
      </c>
      <c r="R42" s="76">
        <v>28774</v>
      </c>
      <c r="S42" s="76">
        <f t="shared" si="50"/>
        <v>28774</v>
      </c>
      <c r="T42" s="76"/>
      <c r="U42" s="76"/>
      <c r="V42" s="76"/>
      <c r="W42" s="76">
        <f t="shared" si="51"/>
        <v>28774</v>
      </c>
      <c r="X42" s="44">
        <f t="shared" si="52"/>
        <v>6801.53701206998</v>
      </c>
      <c r="Y42" s="76">
        <v>11357</v>
      </c>
      <c r="Z42" s="103">
        <f t="shared" si="53"/>
        <v>0.280983916745506</v>
      </c>
      <c r="AA42" s="44">
        <f t="shared" si="54"/>
        <v>3905.63869852248</v>
      </c>
      <c r="AB42" s="44"/>
      <c r="AC42" s="44"/>
      <c r="AD42" s="44">
        <v>1800</v>
      </c>
      <c r="AE42" s="76">
        <f t="shared" si="55"/>
        <v>75048</v>
      </c>
      <c r="AF42" s="44">
        <f t="shared" si="56"/>
        <v>7817.43242927282</v>
      </c>
      <c r="AG42" s="44">
        <f>VLOOKUP(B:B,[2]Sheet2!$B:$E,4,0)</f>
        <v>7</v>
      </c>
      <c r="AH42" s="44">
        <f t="shared" si="57"/>
        <v>70.2106318956871</v>
      </c>
      <c r="AI42" s="44"/>
      <c r="AJ42" s="115">
        <f>VLOOKUP(B:B,'[1]扶贫资金项目情况调度统计表 (2)'!$B:$I,8,0)</f>
        <v>0.825271596343498</v>
      </c>
      <c r="AK42" s="44">
        <f t="shared" si="58"/>
        <v>253.193169464095</v>
      </c>
      <c r="AL42" s="76">
        <v>90.26</v>
      </c>
      <c r="AM42" s="44">
        <f t="shared" si="59"/>
        <v>251.304001464291</v>
      </c>
      <c r="AN42" s="67">
        <f t="shared" si="60"/>
        <v>20899</v>
      </c>
      <c r="AO42" s="44" t="e">
        <f>#REF!*1254933/1408452</f>
        <v>#REF!</v>
      </c>
      <c r="AP42" s="44" t="e">
        <f t="shared" si="12"/>
        <v>#REF!</v>
      </c>
      <c r="AQ42" s="126" t="e">
        <f t="shared" si="13"/>
        <v>#REF!</v>
      </c>
      <c r="AR42" s="44">
        <v>570</v>
      </c>
      <c r="AS42" s="44">
        <v>0</v>
      </c>
      <c r="AT42" s="44">
        <v>0</v>
      </c>
      <c r="AU42" s="127">
        <f t="shared" si="45"/>
        <v>21469</v>
      </c>
    </row>
    <row r="43" ht="17" customHeight="1" spans="1:47">
      <c r="A43" s="31">
        <v>19</v>
      </c>
      <c r="B43" s="51" t="s">
        <v>88</v>
      </c>
      <c r="C43" s="31" t="s">
        <v>93</v>
      </c>
      <c r="D43" s="31">
        <v>2019</v>
      </c>
      <c r="E43" s="31" t="s">
        <v>94</v>
      </c>
      <c r="F43" s="31"/>
      <c r="G43" s="44">
        <v>21017</v>
      </c>
      <c r="H43" s="44"/>
      <c r="I43" s="44"/>
      <c r="J43" s="75">
        <v>97140</v>
      </c>
      <c r="K43" s="76">
        <f t="shared" si="39"/>
        <v>77712</v>
      </c>
      <c r="L43" s="76">
        <f t="shared" si="40"/>
        <v>0</v>
      </c>
      <c r="M43" s="76">
        <f t="shared" si="41"/>
        <v>0</v>
      </c>
      <c r="N43" s="76">
        <f t="shared" si="42"/>
        <v>0</v>
      </c>
      <c r="O43" s="76">
        <f t="shared" si="43"/>
        <v>77712</v>
      </c>
      <c r="P43" s="76">
        <f t="shared" si="44"/>
        <v>0</v>
      </c>
      <c r="Q43" s="44">
        <v>18808</v>
      </c>
      <c r="R43" s="76">
        <v>29592</v>
      </c>
      <c r="S43" s="76">
        <f t="shared" si="50"/>
        <v>29592</v>
      </c>
      <c r="T43" s="76"/>
      <c r="U43" s="76"/>
      <c r="V43" s="76"/>
      <c r="W43" s="76">
        <f t="shared" si="51"/>
        <v>29592</v>
      </c>
      <c r="X43" s="44">
        <f t="shared" si="52"/>
        <v>7492.62933968078</v>
      </c>
      <c r="Y43" s="76">
        <v>10738</v>
      </c>
      <c r="Z43" s="103">
        <f t="shared" si="53"/>
        <v>0.398107852412488</v>
      </c>
      <c r="AA43" s="44">
        <f t="shared" si="54"/>
        <v>5533.64567117258</v>
      </c>
      <c r="AB43" s="44"/>
      <c r="AC43" s="44"/>
      <c r="AD43" s="44">
        <v>1800</v>
      </c>
      <c r="AE43" s="76">
        <f t="shared" si="55"/>
        <v>77712</v>
      </c>
      <c r="AF43" s="44">
        <f t="shared" si="56"/>
        <v>8094.93003069568</v>
      </c>
      <c r="AG43" s="44">
        <f>VLOOKUP(B:B,[2]Sheet2!$B:$E,4,0)</f>
        <v>6</v>
      </c>
      <c r="AH43" s="44">
        <f t="shared" si="57"/>
        <v>60.1805416248746</v>
      </c>
      <c r="AI43" s="44"/>
      <c r="AJ43" s="115">
        <f>VLOOKUP(B:B,'[1]扶贫资金项目情况调度统计表 (2)'!$B:$I,8,0)</f>
        <v>0.811615656085503</v>
      </c>
      <c r="AK43" s="44">
        <f t="shared" si="58"/>
        <v>249.003529579173</v>
      </c>
      <c r="AL43" s="76">
        <v>94.05</v>
      </c>
      <c r="AM43" s="44">
        <f t="shared" si="59"/>
        <v>261.85620804029</v>
      </c>
      <c r="AN43" s="67">
        <f t="shared" si="60"/>
        <v>23492</v>
      </c>
      <c r="AO43" s="44" t="e">
        <f>#REF!*1254933/1408452</f>
        <v>#REF!</v>
      </c>
      <c r="AP43" s="44" t="e">
        <f t="shared" si="12"/>
        <v>#REF!</v>
      </c>
      <c r="AQ43" s="126" t="e">
        <f t="shared" si="13"/>
        <v>#REF!</v>
      </c>
      <c r="AR43" s="44">
        <v>500</v>
      </c>
      <c r="AS43" s="44">
        <v>0</v>
      </c>
      <c r="AT43" s="44">
        <v>0</v>
      </c>
      <c r="AU43" s="127">
        <f t="shared" si="45"/>
        <v>23992</v>
      </c>
    </row>
    <row r="44" ht="17" customHeight="1" spans="1:47">
      <c r="A44" s="31">
        <v>20</v>
      </c>
      <c r="B44" s="51" t="s">
        <v>89</v>
      </c>
      <c r="C44" s="31" t="s">
        <v>93</v>
      </c>
      <c r="D44" s="31">
        <v>2019</v>
      </c>
      <c r="E44" s="31" t="s">
        <v>94</v>
      </c>
      <c r="F44" s="31"/>
      <c r="G44" s="44">
        <v>28121</v>
      </c>
      <c r="H44" s="44"/>
      <c r="I44" s="44"/>
      <c r="J44" s="75">
        <v>148787</v>
      </c>
      <c r="K44" s="76">
        <f t="shared" si="39"/>
        <v>119029.6</v>
      </c>
      <c r="L44" s="76">
        <f t="shared" si="40"/>
        <v>0</v>
      </c>
      <c r="M44" s="76">
        <f t="shared" si="41"/>
        <v>0</v>
      </c>
      <c r="N44" s="76">
        <f t="shared" si="42"/>
        <v>0</v>
      </c>
      <c r="O44" s="76">
        <f t="shared" si="43"/>
        <v>119029.6</v>
      </c>
      <c r="P44" s="76">
        <f t="shared" si="44"/>
        <v>0</v>
      </c>
      <c r="Q44" s="44">
        <v>23938</v>
      </c>
      <c r="R44" s="76">
        <v>40191</v>
      </c>
      <c r="S44" s="76">
        <f t="shared" si="50"/>
        <v>40191</v>
      </c>
      <c r="T44" s="76"/>
      <c r="U44" s="76"/>
      <c r="V44" s="76"/>
      <c r="W44" s="76">
        <f t="shared" si="51"/>
        <v>40191</v>
      </c>
      <c r="X44" s="44">
        <f t="shared" si="52"/>
        <v>10763.2983681229</v>
      </c>
      <c r="Y44" s="76">
        <v>11148</v>
      </c>
      <c r="Z44" s="103">
        <f t="shared" si="53"/>
        <v>0.320529801324503</v>
      </c>
      <c r="AA44" s="44">
        <f t="shared" si="54"/>
        <v>4455.32118201823</v>
      </c>
      <c r="AB44" s="44"/>
      <c r="AC44" s="44"/>
      <c r="AD44" s="44">
        <v>1800</v>
      </c>
      <c r="AE44" s="76">
        <f t="shared" si="55"/>
        <v>119029.6</v>
      </c>
      <c r="AF44" s="44">
        <f t="shared" si="56"/>
        <v>12398.8094963673</v>
      </c>
      <c r="AG44" s="44">
        <f>VLOOKUP(B:B,[2]Sheet2!$B:$E,4,0)</f>
        <v>6</v>
      </c>
      <c r="AH44" s="44">
        <f t="shared" si="57"/>
        <v>60.1805416248746</v>
      </c>
      <c r="AI44" s="44"/>
      <c r="AJ44" s="115">
        <f>VLOOKUP(B:B,'[1]扶贫资金项目情况调度统计表 (2)'!$B:$I,8,0)</f>
        <v>0.854412241641667</v>
      </c>
      <c r="AK44" s="44">
        <f t="shared" si="58"/>
        <v>262.133513922772</v>
      </c>
      <c r="AL44" s="76">
        <v>84.67</v>
      </c>
      <c r="AM44" s="44">
        <f t="shared" si="59"/>
        <v>235.740192820536</v>
      </c>
      <c r="AN44" s="67">
        <f t="shared" si="60"/>
        <v>29975</v>
      </c>
      <c r="AO44" s="44" t="e">
        <f>#REF!*1254933/1408452</f>
        <v>#REF!</v>
      </c>
      <c r="AP44" s="44" t="e">
        <f t="shared" si="12"/>
        <v>#REF!</v>
      </c>
      <c r="AQ44" s="126" t="e">
        <f t="shared" si="13"/>
        <v>#REF!</v>
      </c>
      <c r="AR44" s="44">
        <v>500</v>
      </c>
      <c r="AS44" s="44">
        <v>0</v>
      </c>
      <c r="AT44" s="44">
        <v>0</v>
      </c>
      <c r="AU44" s="127">
        <f t="shared" si="45"/>
        <v>30475</v>
      </c>
    </row>
    <row r="45" ht="17" customHeight="1" spans="1:47">
      <c r="A45" s="31">
        <v>21</v>
      </c>
      <c r="B45" s="51" t="s">
        <v>92</v>
      </c>
      <c r="C45" s="31" t="s">
        <v>90</v>
      </c>
      <c r="D45" s="31">
        <v>2018</v>
      </c>
      <c r="E45" s="31" t="s">
        <v>91</v>
      </c>
      <c r="F45" s="31"/>
      <c r="G45" s="44">
        <v>12477</v>
      </c>
      <c r="H45" s="44"/>
      <c r="I45" s="44"/>
      <c r="J45" s="75">
        <v>39345</v>
      </c>
      <c r="K45" s="76">
        <f t="shared" si="39"/>
        <v>23607</v>
      </c>
      <c r="L45" s="76">
        <f t="shared" si="40"/>
        <v>0</v>
      </c>
      <c r="M45" s="76">
        <f t="shared" si="41"/>
        <v>0</v>
      </c>
      <c r="N45" s="76">
        <f t="shared" si="42"/>
        <v>23607</v>
      </c>
      <c r="O45" s="76">
        <f t="shared" si="43"/>
        <v>0</v>
      </c>
      <c r="P45" s="76">
        <f t="shared" si="44"/>
        <v>0</v>
      </c>
      <c r="Q45" s="44">
        <v>8040</v>
      </c>
      <c r="R45" s="76">
        <v>8207</v>
      </c>
      <c r="S45" s="76">
        <f t="shared" si="50"/>
        <v>6565.6</v>
      </c>
      <c r="T45" s="76"/>
      <c r="U45" s="76"/>
      <c r="V45" s="76">
        <f>R45*0.8</f>
        <v>6565.6</v>
      </c>
      <c r="W45" s="76"/>
      <c r="X45" s="44">
        <f t="shared" si="52"/>
        <v>2287.94280003878</v>
      </c>
      <c r="Y45" s="76">
        <v>11305</v>
      </c>
      <c r="Z45" s="103">
        <f t="shared" si="53"/>
        <v>0.290823084200568</v>
      </c>
      <c r="AA45" s="44">
        <f t="shared" si="54"/>
        <v>4042.40180446401</v>
      </c>
      <c r="AB45" s="44"/>
      <c r="AC45" s="44"/>
      <c r="AD45" s="44"/>
      <c r="AE45" s="76">
        <f>K45*0.6</f>
        <v>14164.2</v>
      </c>
      <c r="AF45" s="44">
        <f t="shared" si="56"/>
        <v>1475.42474702465</v>
      </c>
      <c r="AG45" s="44">
        <f>VLOOKUP(B:B,[2]Sheet2!$B:$E,4,0)</f>
        <v>5</v>
      </c>
      <c r="AH45" s="44">
        <f t="shared" si="57"/>
        <v>50.1504513540622</v>
      </c>
      <c r="AI45" s="44"/>
      <c r="AJ45" s="115">
        <f>VLOOKUP(B:B,'[1]扶贫资金项目情况调度统计表 (2)'!$B:$I,8,0)</f>
        <v>0.816065317600063</v>
      </c>
      <c r="AK45" s="44">
        <f t="shared" si="58"/>
        <v>250.368684889141</v>
      </c>
      <c r="AL45" s="76">
        <v>94.93</v>
      </c>
      <c r="AM45" s="44">
        <f t="shared" si="59"/>
        <v>264.306324606749</v>
      </c>
      <c r="AN45" s="67">
        <f t="shared" si="60"/>
        <v>8371</v>
      </c>
      <c r="AO45" s="44" t="e">
        <f>#REF!*1254933/1408452</f>
        <v>#REF!</v>
      </c>
      <c r="AP45" s="44" t="e">
        <f t="shared" si="12"/>
        <v>#REF!</v>
      </c>
      <c r="AQ45" s="126" t="e">
        <f t="shared" si="13"/>
        <v>#REF!</v>
      </c>
      <c r="AR45" s="44">
        <v>0</v>
      </c>
      <c r="AS45" s="44">
        <v>0</v>
      </c>
      <c r="AT45" s="44">
        <v>0</v>
      </c>
      <c r="AU45" s="127">
        <f t="shared" si="45"/>
        <v>8371</v>
      </c>
    </row>
    <row r="46" s="4" customFormat="1" ht="17" customHeight="1" spans="1:47">
      <c r="A46" s="37">
        <v>22</v>
      </c>
      <c r="B46" s="50" t="s">
        <v>95</v>
      </c>
      <c r="C46" s="37" t="s">
        <v>93</v>
      </c>
      <c r="D46" s="37">
        <v>2020</v>
      </c>
      <c r="E46" s="37" t="s">
        <v>94</v>
      </c>
      <c r="F46" s="37"/>
      <c r="G46" s="44">
        <v>103172</v>
      </c>
      <c r="H46" s="44"/>
      <c r="I46" s="44"/>
      <c r="J46" s="73">
        <v>440617</v>
      </c>
      <c r="K46" s="74">
        <f t="shared" si="39"/>
        <v>440617</v>
      </c>
      <c r="L46" s="74">
        <f t="shared" si="40"/>
        <v>0</v>
      </c>
      <c r="M46" s="74">
        <f t="shared" si="41"/>
        <v>0</v>
      </c>
      <c r="N46" s="74">
        <f t="shared" si="42"/>
        <v>0</v>
      </c>
      <c r="O46" s="74">
        <f t="shared" si="43"/>
        <v>0</v>
      </c>
      <c r="P46" s="74">
        <f t="shared" si="44"/>
        <v>440617</v>
      </c>
      <c r="Q46" s="85">
        <v>68029</v>
      </c>
      <c r="R46" s="74">
        <v>57501</v>
      </c>
      <c r="S46" s="74">
        <f t="shared" si="50"/>
        <v>57501</v>
      </c>
      <c r="T46" s="74"/>
      <c r="U46" s="74"/>
      <c r="V46" s="74"/>
      <c r="W46" s="74">
        <f t="shared" ref="W46:W48" si="61">R46*1</f>
        <v>57501</v>
      </c>
      <c r="X46" s="85">
        <f t="shared" si="52"/>
        <v>32138.9427725257</v>
      </c>
      <c r="Y46" s="74">
        <v>11490</v>
      </c>
      <c r="Z46" s="102">
        <f t="shared" si="53"/>
        <v>0.255818353831599</v>
      </c>
      <c r="AA46" s="85">
        <f t="shared" si="54"/>
        <v>3555.84075447973</v>
      </c>
      <c r="AB46" s="85"/>
      <c r="AC46" s="85"/>
      <c r="AD46" s="85">
        <v>1800</v>
      </c>
      <c r="AE46" s="74">
        <f t="shared" si="55"/>
        <v>440617</v>
      </c>
      <c r="AF46" s="85">
        <f t="shared" si="56"/>
        <v>45897.2074497509</v>
      </c>
      <c r="AG46" s="85">
        <f>VLOOKUP(B:B,[2]Sheet2!$B:$E,4,0)</f>
        <v>10</v>
      </c>
      <c r="AH46" s="85">
        <f t="shared" si="57"/>
        <v>100.300902708124</v>
      </c>
      <c r="AI46" s="85"/>
      <c r="AJ46" s="122">
        <f>VLOOKUP(B:B,'[1]扶贫资金项目情况调度统计表 (2)'!$B:$I,8,0)</f>
        <v>0.879696347132458</v>
      </c>
      <c r="AK46" s="85">
        <f t="shared" si="58"/>
        <v>269.890672698915</v>
      </c>
      <c r="AL46" s="74">
        <v>92.08</v>
      </c>
      <c r="AM46" s="85">
        <f t="shared" si="59"/>
        <v>256.371287999468</v>
      </c>
      <c r="AN46" s="72">
        <f t="shared" si="60"/>
        <v>84019</v>
      </c>
      <c r="AO46" s="44" t="e">
        <f>#REF!*1254933/1408452</f>
        <v>#REF!</v>
      </c>
      <c r="AP46" s="85" t="e">
        <f t="shared" si="12"/>
        <v>#REF!</v>
      </c>
      <c r="AQ46" s="130" t="e">
        <f t="shared" si="13"/>
        <v>#REF!</v>
      </c>
      <c r="AR46" s="85">
        <v>800</v>
      </c>
      <c r="AS46" s="85">
        <v>0</v>
      </c>
      <c r="AT46" s="85">
        <v>0</v>
      </c>
      <c r="AU46" s="127">
        <f t="shared" si="45"/>
        <v>84819</v>
      </c>
    </row>
    <row r="47" ht="17" customHeight="1" spans="1:47">
      <c r="A47" s="31">
        <v>23</v>
      </c>
      <c r="B47" s="51" t="s">
        <v>96</v>
      </c>
      <c r="C47" s="31" t="s">
        <v>93</v>
      </c>
      <c r="D47" s="31">
        <v>2019</v>
      </c>
      <c r="E47" s="31" t="s">
        <v>94</v>
      </c>
      <c r="F47" s="31"/>
      <c r="G47" s="44">
        <v>38924</v>
      </c>
      <c r="H47" s="44"/>
      <c r="I47" s="44"/>
      <c r="J47" s="75">
        <v>210338</v>
      </c>
      <c r="K47" s="76">
        <f t="shared" si="39"/>
        <v>168270.4</v>
      </c>
      <c r="L47" s="76">
        <f t="shared" si="40"/>
        <v>0</v>
      </c>
      <c r="M47" s="76">
        <f t="shared" si="41"/>
        <v>0</v>
      </c>
      <c r="N47" s="76">
        <f t="shared" si="42"/>
        <v>0</v>
      </c>
      <c r="O47" s="76">
        <f t="shared" si="43"/>
        <v>168270.4</v>
      </c>
      <c r="P47" s="76">
        <f t="shared" si="44"/>
        <v>0</v>
      </c>
      <c r="Q47" s="44">
        <v>31481</v>
      </c>
      <c r="R47" s="76">
        <v>44470</v>
      </c>
      <c r="S47" s="76">
        <f t="shared" si="50"/>
        <v>44470</v>
      </c>
      <c r="T47" s="76"/>
      <c r="U47" s="76"/>
      <c r="V47" s="76"/>
      <c r="W47" s="76">
        <f t="shared" si="61"/>
        <v>44470</v>
      </c>
      <c r="X47" s="44">
        <f t="shared" si="52"/>
        <v>14205.7349126602</v>
      </c>
      <c r="Y47" s="76">
        <v>10467</v>
      </c>
      <c r="Z47" s="103">
        <f t="shared" si="53"/>
        <v>0.449385052034059</v>
      </c>
      <c r="AA47" s="44">
        <f t="shared" si="54"/>
        <v>6246.39185790632</v>
      </c>
      <c r="AB47" s="44"/>
      <c r="AC47" s="44"/>
      <c r="AD47" s="44">
        <v>1800</v>
      </c>
      <c r="AE47" s="76">
        <f t="shared" si="55"/>
        <v>168270.4</v>
      </c>
      <c r="AF47" s="44">
        <f t="shared" si="56"/>
        <v>17528.015161586</v>
      </c>
      <c r="AG47" s="44">
        <f>VLOOKUP(B:B,[2]Sheet2!$B:$E,4,0)</f>
        <v>4</v>
      </c>
      <c r="AH47" s="44">
        <f t="shared" si="57"/>
        <v>40.1203610832497</v>
      </c>
      <c r="AI47" s="44"/>
      <c r="AJ47" s="115">
        <f>VLOOKUP(B:B,'[1]扶贫资金项目情况调度统计表 (2)'!$B:$I,8,0)</f>
        <v>0.861728053216558</v>
      </c>
      <c r="AK47" s="44">
        <f t="shared" si="58"/>
        <v>264.378003528443</v>
      </c>
      <c r="AL47" s="76">
        <v>79.68</v>
      </c>
      <c r="AM47" s="44">
        <f t="shared" si="59"/>
        <v>221.846918199366</v>
      </c>
      <c r="AN47" s="67">
        <f t="shared" si="60"/>
        <v>40306</v>
      </c>
      <c r="AO47" s="44" t="e">
        <f>#REF!*1254933/1408452</f>
        <v>#REF!</v>
      </c>
      <c r="AP47" s="44" t="e">
        <f t="shared" si="12"/>
        <v>#REF!</v>
      </c>
      <c r="AQ47" s="126" t="e">
        <f t="shared" si="13"/>
        <v>#REF!</v>
      </c>
      <c r="AR47" s="44">
        <v>0</v>
      </c>
      <c r="AS47" s="44">
        <v>0</v>
      </c>
      <c r="AT47" s="44">
        <v>0</v>
      </c>
      <c r="AU47" s="127">
        <f t="shared" si="45"/>
        <v>40306</v>
      </c>
    </row>
    <row r="48" ht="17" customHeight="1" spans="1:47">
      <c r="A48" s="31">
        <v>24</v>
      </c>
      <c r="B48" s="51" t="s">
        <v>97</v>
      </c>
      <c r="C48" s="31" t="s">
        <v>90</v>
      </c>
      <c r="D48" s="31">
        <v>2018</v>
      </c>
      <c r="E48" s="31" t="s">
        <v>91</v>
      </c>
      <c r="F48" s="31"/>
      <c r="G48" s="44">
        <v>14640</v>
      </c>
      <c r="H48" s="44"/>
      <c r="I48" s="44"/>
      <c r="J48" s="75">
        <v>56739</v>
      </c>
      <c r="K48" s="76">
        <f t="shared" si="39"/>
        <v>34043.4</v>
      </c>
      <c r="L48" s="76">
        <f t="shared" si="40"/>
        <v>0</v>
      </c>
      <c r="M48" s="76">
        <f t="shared" si="41"/>
        <v>0</v>
      </c>
      <c r="N48" s="76">
        <f t="shared" si="42"/>
        <v>34043.4</v>
      </c>
      <c r="O48" s="76">
        <f t="shared" si="43"/>
        <v>0</v>
      </c>
      <c r="P48" s="76">
        <f t="shared" si="44"/>
        <v>0</v>
      </c>
      <c r="Q48" s="44">
        <v>9191</v>
      </c>
      <c r="R48" s="76">
        <v>16255</v>
      </c>
      <c r="S48" s="76">
        <f t="shared" si="50"/>
        <v>16255</v>
      </c>
      <c r="T48" s="76"/>
      <c r="U48" s="76"/>
      <c r="V48" s="76"/>
      <c r="W48" s="76">
        <f t="shared" si="61"/>
        <v>16255</v>
      </c>
      <c r="X48" s="44">
        <f t="shared" si="52"/>
        <v>3575.90925645896</v>
      </c>
      <c r="Y48" s="76">
        <v>11041</v>
      </c>
      <c r="Z48" s="103">
        <f t="shared" si="53"/>
        <v>0.34077578051088</v>
      </c>
      <c r="AA48" s="44">
        <f t="shared" si="54"/>
        <v>4736.73757309022</v>
      </c>
      <c r="AB48" s="44"/>
      <c r="AC48" s="44"/>
      <c r="AD48" s="44"/>
      <c r="AE48" s="76">
        <f>K48*0.6</f>
        <v>20426.04</v>
      </c>
      <c r="AF48" s="44">
        <f t="shared" si="56"/>
        <v>2127.69410907185</v>
      </c>
      <c r="AG48" s="44">
        <f>VLOOKUP(B:B,[2]Sheet2!$B:$E,4,0)</f>
        <v>7</v>
      </c>
      <c r="AH48" s="44">
        <f t="shared" si="57"/>
        <v>70.2106318956871</v>
      </c>
      <c r="AI48" s="44"/>
      <c r="AJ48" s="115">
        <f>VLOOKUP(B:B,'[1]扶贫资金项目情况调度统计表 (2)'!$B:$I,8,0)</f>
        <v>0.796083772106305</v>
      </c>
      <c r="AK48" s="44">
        <f t="shared" si="58"/>
        <v>244.238350515862</v>
      </c>
      <c r="AL48" s="76">
        <v>91.77</v>
      </c>
      <c r="AM48" s="44">
        <f t="shared" si="59"/>
        <v>255.508178754465</v>
      </c>
      <c r="AN48" s="67">
        <f t="shared" si="60"/>
        <v>11010</v>
      </c>
      <c r="AO48" s="44" t="e">
        <f>#REF!*1254933/1408452</f>
        <v>#REF!</v>
      </c>
      <c r="AP48" s="44" t="e">
        <f t="shared" si="12"/>
        <v>#REF!</v>
      </c>
      <c r="AQ48" s="126" t="e">
        <f t="shared" si="13"/>
        <v>#REF!</v>
      </c>
      <c r="AR48" s="44">
        <v>476</v>
      </c>
      <c r="AS48" s="44">
        <v>0</v>
      </c>
      <c r="AT48" s="44">
        <v>0</v>
      </c>
      <c r="AU48" s="127">
        <f t="shared" si="45"/>
        <v>11486</v>
      </c>
    </row>
    <row r="49" ht="17" customHeight="1" spans="1:47">
      <c r="A49" s="31">
        <v>25</v>
      </c>
      <c r="B49" s="51" t="s">
        <v>98</v>
      </c>
      <c r="C49" s="31" t="s">
        <v>78</v>
      </c>
      <c r="D49" s="31"/>
      <c r="E49" s="31"/>
      <c r="F49" s="31"/>
      <c r="G49" s="44">
        <v>3515</v>
      </c>
      <c r="H49" s="44"/>
      <c r="I49" s="44"/>
      <c r="J49" s="75">
        <v>11311</v>
      </c>
      <c r="K49" s="76">
        <f t="shared" si="39"/>
        <v>2262.2</v>
      </c>
      <c r="L49" s="76">
        <f t="shared" si="40"/>
        <v>2262.2</v>
      </c>
      <c r="M49" s="76">
        <f t="shared" si="41"/>
        <v>0</v>
      </c>
      <c r="N49" s="76">
        <f t="shared" si="42"/>
        <v>0</v>
      </c>
      <c r="O49" s="76">
        <f t="shared" si="43"/>
        <v>0</v>
      </c>
      <c r="P49" s="76">
        <f t="shared" si="44"/>
        <v>0</v>
      </c>
      <c r="Q49" s="44">
        <v>396</v>
      </c>
      <c r="R49" s="76">
        <v>1691</v>
      </c>
      <c r="S49" s="76">
        <f t="shared" si="50"/>
        <v>1014.6</v>
      </c>
      <c r="T49" s="76"/>
      <c r="U49" s="76">
        <f>R49*0.6</f>
        <v>1014.6</v>
      </c>
      <c r="V49" s="76"/>
      <c r="W49" s="76"/>
      <c r="X49" s="44">
        <f t="shared" si="52"/>
        <v>217.024550833934</v>
      </c>
      <c r="Y49" s="76">
        <v>13022</v>
      </c>
      <c r="Z49" s="103">
        <f t="shared" si="53"/>
        <v>0</v>
      </c>
      <c r="AA49" s="44">
        <f t="shared" si="54"/>
        <v>0</v>
      </c>
      <c r="AB49" s="44"/>
      <c r="AC49" s="44"/>
      <c r="AD49" s="44"/>
      <c r="AE49" s="76"/>
      <c r="AF49" s="44"/>
      <c r="AG49" s="44">
        <f>VLOOKUP(B:B,[2]Sheet2!$B:$E,4,0)</f>
        <v>8</v>
      </c>
      <c r="AH49" s="44">
        <f t="shared" si="57"/>
        <v>80.2407221664995</v>
      </c>
      <c r="AI49" s="44"/>
      <c r="AJ49" s="115">
        <f>VLOOKUP(B:B,'[1]扶贫资金项目情况调度统计表 (2)'!$B:$I,8,0)</f>
        <v>0.938001640263564</v>
      </c>
      <c r="AK49" s="44">
        <f t="shared" si="58"/>
        <v>287.778725589389</v>
      </c>
      <c r="AL49" s="76">
        <v>91.88</v>
      </c>
      <c r="AM49" s="44">
        <f t="shared" si="59"/>
        <v>255.814443325272</v>
      </c>
      <c r="AN49" s="67">
        <f t="shared" si="60"/>
        <v>841</v>
      </c>
      <c r="AO49" s="44" t="e">
        <f>#REF!*1254933/1408452</f>
        <v>#REF!</v>
      </c>
      <c r="AP49" s="44" t="e">
        <f t="shared" si="12"/>
        <v>#REF!</v>
      </c>
      <c r="AQ49" s="126" t="e">
        <f t="shared" si="13"/>
        <v>#REF!</v>
      </c>
      <c r="AR49" s="44">
        <v>0</v>
      </c>
      <c r="AS49" s="44">
        <v>0</v>
      </c>
      <c r="AT49" s="44">
        <v>0</v>
      </c>
      <c r="AU49" s="127">
        <f t="shared" si="45"/>
        <v>841</v>
      </c>
    </row>
    <row r="50" s="6" customFormat="1" ht="17" customHeight="1" spans="1:85">
      <c r="A50" s="39"/>
      <c r="B50" s="40" t="s">
        <v>99</v>
      </c>
      <c r="C50" s="41">
        <v>1</v>
      </c>
      <c r="D50" s="41"/>
      <c r="E50" s="41"/>
      <c r="F50" s="41"/>
      <c r="G50" s="54">
        <v>163690</v>
      </c>
      <c r="H50" s="54">
        <f>H51+H52</f>
        <v>0</v>
      </c>
      <c r="I50" s="54">
        <f>I51+I52</f>
        <v>0</v>
      </c>
      <c r="J50" s="54">
        <f t="shared" ref="J50:X50" si="62">J51+J52</f>
        <v>740646</v>
      </c>
      <c r="K50" s="77">
        <f t="shared" si="62"/>
        <v>561552.8</v>
      </c>
      <c r="L50" s="77">
        <f t="shared" si="62"/>
        <v>15699.8</v>
      </c>
      <c r="M50" s="77">
        <f t="shared" si="62"/>
        <v>14656</v>
      </c>
      <c r="N50" s="77">
        <f t="shared" si="62"/>
        <v>96456</v>
      </c>
      <c r="O50" s="77">
        <f t="shared" si="62"/>
        <v>120024</v>
      </c>
      <c r="P50" s="77">
        <f t="shared" si="62"/>
        <v>314717</v>
      </c>
      <c r="Q50" s="54">
        <v>86982</v>
      </c>
      <c r="R50" s="77">
        <f t="shared" si="62"/>
        <v>156823</v>
      </c>
      <c r="S50" s="77">
        <f t="shared" si="62"/>
        <v>151584.8</v>
      </c>
      <c r="T50" s="77">
        <f t="shared" si="62"/>
        <v>859.6</v>
      </c>
      <c r="U50" s="77">
        <f t="shared" si="62"/>
        <v>0</v>
      </c>
      <c r="V50" s="77">
        <f t="shared" si="62"/>
        <v>15795.2</v>
      </c>
      <c r="W50" s="77">
        <f t="shared" si="62"/>
        <v>134930</v>
      </c>
      <c r="X50" s="54">
        <f t="shared" si="62"/>
        <v>46260.0631354846</v>
      </c>
      <c r="Y50" s="77"/>
      <c r="Z50" s="104">
        <f t="shared" ref="Z50:AD50" si="63">Z51+Z52</f>
        <v>0.102932828760643</v>
      </c>
      <c r="AA50" s="54">
        <f t="shared" si="63"/>
        <v>1430.75249292675</v>
      </c>
      <c r="AB50" s="54">
        <v>0</v>
      </c>
      <c r="AC50" s="54">
        <f t="shared" si="63"/>
        <v>0</v>
      </c>
      <c r="AD50" s="54">
        <f t="shared" si="63"/>
        <v>3600</v>
      </c>
      <c r="AE50" s="54">
        <f t="shared" ref="AE50:AI50" si="64">AE51+AE52</f>
        <v>469407.2</v>
      </c>
      <c r="AF50" s="54">
        <f t="shared" si="64"/>
        <v>48896.1606946774</v>
      </c>
      <c r="AG50" s="54">
        <f t="shared" si="64"/>
        <v>72</v>
      </c>
      <c r="AH50" s="54">
        <f t="shared" si="64"/>
        <v>722.166499498495</v>
      </c>
      <c r="AI50" s="54">
        <f t="shared" si="64"/>
        <v>0</v>
      </c>
      <c r="AJ50" s="118"/>
      <c r="AK50" s="54">
        <f t="shared" ref="AK50:AO50" si="65">AK51+AK52</f>
        <v>2374.51488174292</v>
      </c>
      <c r="AL50" s="54">
        <f t="shared" si="65"/>
        <v>829.14</v>
      </c>
      <c r="AM50" s="54">
        <f t="shared" si="65"/>
        <v>2308.51096581102</v>
      </c>
      <c r="AN50" s="119">
        <f t="shared" si="65"/>
        <v>105592</v>
      </c>
      <c r="AO50" s="54" t="e">
        <f t="shared" si="65"/>
        <v>#REF!</v>
      </c>
      <c r="AP50" s="86" t="e">
        <f t="shared" si="12"/>
        <v>#REF!</v>
      </c>
      <c r="AQ50" s="125" t="e">
        <f t="shared" si="13"/>
        <v>#REF!</v>
      </c>
      <c r="AR50" s="54">
        <v>1929</v>
      </c>
      <c r="AS50" s="54">
        <v>0</v>
      </c>
      <c r="AT50" s="54">
        <v>103</v>
      </c>
      <c r="AU50" s="54">
        <f>AU51+AU52</f>
        <v>107624</v>
      </c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</row>
    <row r="51" ht="17" customHeight="1" spans="1:47">
      <c r="A51" s="29"/>
      <c r="B51" s="30" t="s">
        <v>100</v>
      </c>
      <c r="C51" s="31">
        <v>2</v>
      </c>
      <c r="D51" s="31"/>
      <c r="E51" s="31"/>
      <c r="F51" s="31"/>
      <c r="G51" s="44">
        <v>12572</v>
      </c>
      <c r="H51" s="44"/>
      <c r="I51" s="44"/>
      <c r="J51" s="75"/>
      <c r="K51" s="76">
        <f t="shared" ref="K51:K61" si="66">SUM(L51:P51)</f>
        <v>0</v>
      </c>
      <c r="L51" s="76">
        <f t="shared" ref="L51:L61" si="67">IF(D51="",J51*0.2,0)</f>
        <v>0</v>
      </c>
      <c r="M51" s="76">
        <f t="shared" ref="M51:M61" si="68">IF(D51=2017,J51*0.4,0)</f>
        <v>0</v>
      </c>
      <c r="N51" s="76">
        <f t="shared" ref="N51:N61" si="69">IF(D51=2018,J51*0.6,0)</f>
        <v>0</v>
      </c>
      <c r="O51" s="76">
        <f t="shared" ref="O51:O61" si="70">IF(D51=2019,J51*0.8,0)</f>
        <v>0</v>
      </c>
      <c r="P51" s="76">
        <f t="shared" ref="P51:P61" si="71">IF(D51=2020,J51*1,0)</f>
        <v>0</v>
      </c>
      <c r="Q51" s="44"/>
      <c r="R51" s="76"/>
      <c r="S51" s="76">
        <f>O51*0.4+P51*0.6+Q51*0.8+R51*1</f>
        <v>0</v>
      </c>
      <c r="T51" s="76">
        <f>R51-U51-V51-W51</f>
        <v>0</v>
      </c>
      <c r="U51" s="76"/>
      <c r="V51" s="76"/>
      <c r="W51" s="76"/>
      <c r="X51" s="44"/>
      <c r="Y51" s="76"/>
      <c r="Z51" s="103"/>
      <c r="AA51" s="44"/>
      <c r="AB51" s="44"/>
      <c r="AC51" s="44"/>
      <c r="AD51" s="44"/>
      <c r="AE51" s="76"/>
      <c r="AF51" s="44"/>
      <c r="AG51" s="44"/>
      <c r="AH51" s="44"/>
      <c r="AI51" s="44"/>
      <c r="AJ51" s="115"/>
      <c r="AK51" s="44"/>
      <c r="AL51" s="76"/>
      <c r="AM51" s="44"/>
      <c r="AN51" s="44"/>
      <c r="AO51" s="44"/>
      <c r="AP51" s="86">
        <f t="shared" si="12"/>
        <v>0</v>
      </c>
      <c r="AQ51" s="125"/>
      <c r="AR51" s="44"/>
      <c r="AS51" s="44"/>
      <c r="AT51" s="44"/>
      <c r="AU51" s="127">
        <f t="shared" ref="AU51:AU61" si="72">AT51+AS51+AR51+AN51</f>
        <v>0</v>
      </c>
    </row>
    <row r="52" s="7" customFormat="1" ht="17" customHeight="1" spans="1:85">
      <c r="A52" s="45"/>
      <c r="B52" s="46" t="s">
        <v>76</v>
      </c>
      <c r="C52" s="47">
        <v>3</v>
      </c>
      <c r="D52" s="47"/>
      <c r="E52" s="47"/>
      <c r="F52" s="47"/>
      <c r="G52" s="55">
        <v>151118</v>
      </c>
      <c r="H52" s="55">
        <f>SUM(H53:H61)</f>
        <v>0</v>
      </c>
      <c r="I52" s="55">
        <f>SUM(I53:I61)</f>
        <v>0</v>
      </c>
      <c r="J52" s="55">
        <f t="shared" ref="J52:X52" si="73">SUM(J53:J61)</f>
        <v>740646</v>
      </c>
      <c r="K52" s="78">
        <f t="shared" si="73"/>
        <v>561552.8</v>
      </c>
      <c r="L52" s="78">
        <f t="shared" si="73"/>
        <v>15699.8</v>
      </c>
      <c r="M52" s="78">
        <f t="shared" si="73"/>
        <v>14656</v>
      </c>
      <c r="N52" s="78">
        <f t="shared" si="73"/>
        <v>96456</v>
      </c>
      <c r="O52" s="78">
        <f t="shared" si="73"/>
        <v>120024</v>
      </c>
      <c r="P52" s="78">
        <f t="shared" si="73"/>
        <v>314717</v>
      </c>
      <c r="Q52" s="55">
        <v>86982</v>
      </c>
      <c r="R52" s="78">
        <f t="shared" si="73"/>
        <v>156823</v>
      </c>
      <c r="S52" s="78">
        <f t="shared" si="73"/>
        <v>151584.8</v>
      </c>
      <c r="T52" s="78">
        <f t="shared" si="73"/>
        <v>859.6</v>
      </c>
      <c r="U52" s="78">
        <f t="shared" si="73"/>
        <v>0</v>
      </c>
      <c r="V52" s="78">
        <f t="shared" si="73"/>
        <v>15795.2</v>
      </c>
      <c r="W52" s="78">
        <f t="shared" si="73"/>
        <v>134930</v>
      </c>
      <c r="X52" s="55">
        <f t="shared" si="73"/>
        <v>46260.0631354846</v>
      </c>
      <c r="Y52" s="78"/>
      <c r="Z52" s="105">
        <f t="shared" ref="Z52:AD52" si="74">SUM(Z53:Z61)</f>
        <v>0.102932828760643</v>
      </c>
      <c r="AA52" s="55">
        <f t="shared" si="74"/>
        <v>1430.75249292675</v>
      </c>
      <c r="AB52" s="55">
        <v>0</v>
      </c>
      <c r="AC52" s="55">
        <f t="shared" si="74"/>
        <v>0</v>
      </c>
      <c r="AD52" s="55">
        <f t="shared" si="74"/>
        <v>3600</v>
      </c>
      <c r="AE52" s="55">
        <f t="shared" ref="AE52:AI52" si="75">SUM(AE53:AE61)</f>
        <v>469407.2</v>
      </c>
      <c r="AF52" s="55">
        <f t="shared" si="75"/>
        <v>48896.1606946774</v>
      </c>
      <c r="AG52" s="55">
        <f t="shared" si="75"/>
        <v>72</v>
      </c>
      <c r="AH52" s="55">
        <f t="shared" si="75"/>
        <v>722.166499498495</v>
      </c>
      <c r="AI52" s="55">
        <f t="shared" si="75"/>
        <v>0</v>
      </c>
      <c r="AJ52" s="120"/>
      <c r="AK52" s="55">
        <f t="shared" ref="AK52:AO52" si="76">SUM(AK53:AK61)</f>
        <v>2374.51488174292</v>
      </c>
      <c r="AL52" s="55">
        <f t="shared" si="76"/>
        <v>829.14</v>
      </c>
      <c r="AM52" s="55">
        <f t="shared" si="76"/>
        <v>2308.51096581102</v>
      </c>
      <c r="AN52" s="121">
        <f t="shared" si="76"/>
        <v>105592</v>
      </c>
      <c r="AO52" s="55" t="e">
        <f t="shared" si="76"/>
        <v>#REF!</v>
      </c>
      <c r="AP52" s="86" t="e">
        <f t="shared" si="12"/>
        <v>#REF!</v>
      </c>
      <c r="AQ52" s="125" t="e">
        <f t="shared" si="13"/>
        <v>#REF!</v>
      </c>
      <c r="AR52" s="55">
        <v>1929</v>
      </c>
      <c r="AS52" s="55">
        <v>0</v>
      </c>
      <c r="AT52" s="55">
        <v>103</v>
      </c>
      <c r="AU52" s="55">
        <f>SUM(AU53:AU61)</f>
        <v>107624</v>
      </c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</row>
    <row r="53" ht="17" customHeight="1" spans="1:47">
      <c r="A53" s="31">
        <v>26</v>
      </c>
      <c r="B53" s="51" t="s">
        <v>101</v>
      </c>
      <c r="C53" s="31" t="s">
        <v>78</v>
      </c>
      <c r="D53" s="31"/>
      <c r="E53" s="31"/>
      <c r="F53" s="31"/>
      <c r="G53" s="44">
        <v>3786</v>
      </c>
      <c r="H53" s="44"/>
      <c r="I53" s="44"/>
      <c r="J53" s="75">
        <v>11313</v>
      </c>
      <c r="K53" s="76">
        <f t="shared" si="66"/>
        <v>2262.6</v>
      </c>
      <c r="L53" s="76">
        <f t="shared" si="67"/>
        <v>2262.6</v>
      </c>
      <c r="M53" s="76">
        <f t="shared" si="68"/>
        <v>0</v>
      </c>
      <c r="N53" s="76">
        <f t="shared" si="69"/>
        <v>0</v>
      </c>
      <c r="O53" s="76">
        <f t="shared" si="70"/>
        <v>0</v>
      </c>
      <c r="P53" s="76">
        <f t="shared" si="71"/>
        <v>0</v>
      </c>
      <c r="Q53" s="44">
        <v>1076</v>
      </c>
      <c r="R53" s="76">
        <v>618</v>
      </c>
      <c r="S53" s="76">
        <f t="shared" ref="S53:S61" si="77">T53+U53+V53+W53</f>
        <v>247.2</v>
      </c>
      <c r="T53" s="76">
        <f t="shared" ref="T53:T55" si="78">R53*0.4</f>
        <v>247.2</v>
      </c>
      <c r="U53" s="76"/>
      <c r="V53" s="76"/>
      <c r="W53" s="76"/>
      <c r="X53" s="44">
        <f t="shared" ref="X53:X61" si="79">(K53/$K$10*0.2+Q53/$Q$10*0.05+S53/$S$10*0.05)*1254933</f>
        <v>216.535322714539</v>
      </c>
      <c r="Y53" s="76">
        <v>19728</v>
      </c>
      <c r="Z53" s="103">
        <f t="shared" ref="Z53:Z61" si="80">IF(Y53&lt;12842,(12842-Y53)/(12842-$Y$176),0)</f>
        <v>0</v>
      </c>
      <c r="AA53" s="44">
        <f t="shared" ref="AA53:AA61" si="81">(Z53/$Z$10*0.2)*1254933</f>
        <v>0</v>
      </c>
      <c r="AB53" s="44"/>
      <c r="AC53" s="44"/>
      <c r="AD53" s="44"/>
      <c r="AE53" s="76"/>
      <c r="AF53" s="44"/>
      <c r="AG53" s="44">
        <f>VLOOKUP(B:B,[2]Sheet2!$B:$E,4,0)</f>
        <v>10</v>
      </c>
      <c r="AH53" s="44">
        <f t="shared" ref="AH53:AH61" si="82">AG53/$AG$10*10000</f>
        <v>100.300902708124</v>
      </c>
      <c r="AI53" s="44"/>
      <c r="AJ53" s="115">
        <f>VLOOKUP(B:B,'[1]扶贫资金项目情况调度统计表 (2)'!$B:$I,8,0)</f>
        <v>0.957401945621915</v>
      </c>
      <c r="AK53" s="44">
        <f t="shared" ref="AK53:AK61" si="83">AJ53/$AJ$10*0.025*1254933</f>
        <v>293.730735599203</v>
      </c>
      <c r="AL53" s="76">
        <v>94.4</v>
      </c>
      <c r="AM53" s="44">
        <f t="shared" ref="AM53:AM61" si="84">(AL53/$AL$10)*0.025*1254933</f>
        <v>262.830686220132</v>
      </c>
      <c r="AN53" s="67">
        <f t="shared" ref="AN53:AN61" si="85">ROUND(AM53+AK53+AI53+AF53+AH53+AD53+AC53+AA53+X53,0)</f>
        <v>873</v>
      </c>
      <c r="AO53" s="44" t="e">
        <f>#REF!*1254933/1408452</f>
        <v>#REF!</v>
      </c>
      <c r="AP53" s="44" t="e">
        <f t="shared" si="12"/>
        <v>#REF!</v>
      </c>
      <c r="AQ53" s="126" t="e">
        <f t="shared" si="13"/>
        <v>#REF!</v>
      </c>
      <c r="AR53" s="44">
        <v>0</v>
      </c>
      <c r="AS53" s="44">
        <v>0</v>
      </c>
      <c r="AT53" s="44">
        <v>0</v>
      </c>
      <c r="AU53" s="127">
        <f t="shared" si="72"/>
        <v>873</v>
      </c>
    </row>
    <row r="54" ht="17" customHeight="1" spans="1:47">
      <c r="A54" s="31">
        <v>27</v>
      </c>
      <c r="B54" s="51" t="s">
        <v>108</v>
      </c>
      <c r="C54" s="31" t="s">
        <v>78</v>
      </c>
      <c r="D54" s="31"/>
      <c r="E54" s="31"/>
      <c r="F54" s="31"/>
      <c r="G54" s="44">
        <v>3841</v>
      </c>
      <c r="H54" s="44"/>
      <c r="I54" s="44"/>
      <c r="J54" s="75">
        <v>17582</v>
      </c>
      <c r="K54" s="76">
        <f t="shared" si="66"/>
        <v>3516.4</v>
      </c>
      <c r="L54" s="76">
        <f t="shared" si="67"/>
        <v>3516.4</v>
      </c>
      <c r="M54" s="76">
        <f t="shared" si="68"/>
        <v>0</v>
      </c>
      <c r="N54" s="76">
        <f t="shared" si="69"/>
        <v>0</v>
      </c>
      <c r="O54" s="76">
        <f t="shared" si="70"/>
        <v>0</v>
      </c>
      <c r="P54" s="76">
        <f t="shared" si="71"/>
        <v>0</v>
      </c>
      <c r="Q54" s="44">
        <v>1521</v>
      </c>
      <c r="R54" s="76">
        <v>747</v>
      </c>
      <c r="S54" s="76">
        <f t="shared" si="77"/>
        <v>298.8</v>
      </c>
      <c r="T54" s="76">
        <f t="shared" si="78"/>
        <v>298.8</v>
      </c>
      <c r="U54" s="76"/>
      <c r="V54" s="76"/>
      <c r="W54" s="76"/>
      <c r="X54" s="44">
        <f t="shared" si="79"/>
        <v>319.375996136258</v>
      </c>
      <c r="Y54" s="76">
        <v>16673</v>
      </c>
      <c r="Z54" s="103">
        <f t="shared" si="80"/>
        <v>0</v>
      </c>
      <c r="AA54" s="44">
        <f t="shared" si="81"/>
        <v>0</v>
      </c>
      <c r="AB54" s="44"/>
      <c r="AC54" s="44"/>
      <c r="AD54" s="44"/>
      <c r="AE54" s="76"/>
      <c r="AF54" s="44"/>
      <c r="AG54" s="44">
        <f>VLOOKUP(B:B,[2]Sheet2!$B:$E,4,0)</f>
        <v>7</v>
      </c>
      <c r="AH54" s="44">
        <f t="shared" si="82"/>
        <v>70.2106318956871</v>
      </c>
      <c r="AI54" s="44"/>
      <c r="AJ54" s="115">
        <f>VLOOKUP(B:B,'[1]扶贫资金项目情况调度统计表 (2)'!$B:$I,8,0)</f>
        <v>0.916433299389002</v>
      </c>
      <c r="AK54" s="44">
        <f t="shared" si="83"/>
        <v>281.161562693794</v>
      </c>
      <c r="AL54" s="76">
        <v>87.35</v>
      </c>
      <c r="AM54" s="44">
        <f t="shared" si="84"/>
        <v>243.201911454751</v>
      </c>
      <c r="AN54" s="67">
        <f t="shared" si="85"/>
        <v>914</v>
      </c>
      <c r="AO54" s="44" t="e">
        <f>#REF!*1254933/1408452</f>
        <v>#REF!</v>
      </c>
      <c r="AP54" s="44" t="e">
        <f t="shared" si="12"/>
        <v>#REF!</v>
      </c>
      <c r="AQ54" s="126" t="e">
        <f t="shared" si="13"/>
        <v>#REF!</v>
      </c>
      <c r="AR54" s="44">
        <v>0</v>
      </c>
      <c r="AS54" s="44">
        <v>0</v>
      </c>
      <c r="AT54" s="44">
        <v>0</v>
      </c>
      <c r="AU54" s="127">
        <f t="shared" si="72"/>
        <v>914</v>
      </c>
    </row>
    <row r="55" ht="17" customHeight="1" spans="1:47">
      <c r="A55" s="31">
        <v>28</v>
      </c>
      <c r="B55" s="51" t="s">
        <v>102</v>
      </c>
      <c r="C55" s="31" t="s">
        <v>78</v>
      </c>
      <c r="D55" s="31"/>
      <c r="E55" s="31"/>
      <c r="F55" s="31"/>
      <c r="G55" s="44">
        <v>3594</v>
      </c>
      <c r="H55" s="44"/>
      <c r="I55" s="44"/>
      <c r="J55" s="75">
        <v>15759</v>
      </c>
      <c r="K55" s="76">
        <f t="shared" si="66"/>
        <v>3151.8</v>
      </c>
      <c r="L55" s="76">
        <f t="shared" si="67"/>
        <v>3151.8</v>
      </c>
      <c r="M55" s="76">
        <f t="shared" si="68"/>
        <v>0</v>
      </c>
      <c r="N55" s="76">
        <f t="shared" si="69"/>
        <v>0</v>
      </c>
      <c r="O55" s="76">
        <f t="shared" si="70"/>
        <v>0</v>
      </c>
      <c r="P55" s="76">
        <f t="shared" si="71"/>
        <v>0</v>
      </c>
      <c r="Q55" s="44">
        <v>981</v>
      </c>
      <c r="R55" s="76">
        <v>784</v>
      </c>
      <c r="S55" s="76">
        <f t="shared" si="77"/>
        <v>313.6</v>
      </c>
      <c r="T55" s="76">
        <f t="shared" si="78"/>
        <v>313.6</v>
      </c>
      <c r="U55" s="76"/>
      <c r="V55" s="76"/>
      <c r="W55" s="76"/>
      <c r="X55" s="44">
        <f t="shared" si="79"/>
        <v>260.54917162887</v>
      </c>
      <c r="Y55" s="76">
        <v>13512</v>
      </c>
      <c r="Z55" s="103">
        <f t="shared" si="80"/>
        <v>0</v>
      </c>
      <c r="AA55" s="44">
        <f t="shared" si="81"/>
        <v>0</v>
      </c>
      <c r="AB55" s="44"/>
      <c r="AC55" s="44"/>
      <c r="AD55" s="44"/>
      <c r="AE55" s="76"/>
      <c r="AF55" s="44"/>
      <c r="AG55" s="44">
        <f>VLOOKUP(B:B,[2]Sheet2!$B:$E,4,0)</f>
        <v>7</v>
      </c>
      <c r="AH55" s="44">
        <f t="shared" si="82"/>
        <v>70.2106318956871</v>
      </c>
      <c r="AI55" s="44"/>
      <c r="AJ55" s="115">
        <f>VLOOKUP(B:B,'[1]扶贫资金项目情况调度统计表 (2)'!$B:$I,8,0)</f>
        <v>0.852306348740029</v>
      </c>
      <c r="AK55" s="44">
        <f t="shared" si="83"/>
        <v>261.487426379374</v>
      </c>
      <c r="AL55" s="76">
        <v>95.47</v>
      </c>
      <c r="AM55" s="44">
        <f t="shared" si="84"/>
        <v>265.809805227076</v>
      </c>
      <c r="AN55" s="67">
        <f t="shared" si="85"/>
        <v>858</v>
      </c>
      <c r="AO55" s="44" t="e">
        <f>#REF!*1254933/1408452</f>
        <v>#REF!</v>
      </c>
      <c r="AP55" s="44" t="e">
        <f t="shared" si="12"/>
        <v>#REF!</v>
      </c>
      <c r="AQ55" s="126" t="e">
        <f t="shared" si="13"/>
        <v>#REF!</v>
      </c>
      <c r="AR55" s="44">
        <v>0</v>
      </c>
      <c r="AS55" s="44">
        <v>0</v>
      </c>
      <c r="AT55" s="44">
        <v>0</v>
      </c>
      <c r="AU55" s="127">
        <f t="shared" si="72"/>
        <v>858</v>
      </c>
    </row>
    <row r="56" ht="17" customHeight="1" spans="1:47">
      <c r="A56" s="31">
        <v>29</v>
      </c>
      <c r="B56" s="51" t="s">
        <v>109</v>
      </c>
      <c r="C56" s="31" t="s">
        <v>93</v>
      </c>
      <c r="D56" s="31">
        <v>2019</v>
      </c>
      <c r="E56" s="31" t="s">
        <v>94</v>
      </c>
      <c r="F56" s="31"/>
      <c r="G56" s="44">
        <v>35283</v>
      </c>
      <c r="H56" s="44"/>
      <c r="I56" s="44"/>
      <c r="J56" s="75">
        <v>150030</v>
      </c>
      <c r="K56" s="76">
        <f t="shared" si="66"/>
        <v>120024</v>
      </c>
      <c r="L56" s="76">
        <f t="shared" si="67"/>
        <v>0</v>
      </c>
      <c r="M56" s="76">
        <f t="shared" si="68"/>
        <v>0</v>
      </c>
      <c r="N56" s="76">
        <f t="shared" si="69"/>
        <v>0</v>
      </c>
      <c r="O56" s="76">
        <f t="shared" si="70"/>
        <v>120024</v>
      </c>
      <c r="P56" s="76">
        <f t="shared" si="71"/>
        <v>0</v>
      </c>
      <c r="Q56" s="44">
        <v>19923</v>
      </c>
      <c r="R56" s="76">
        <v>51303</v>
      </c>
      <c r="S56" s="76">
        <f t="shared" si="77"/>
        <v>51303</v>
      </c>
      <c r="T56" s="76"/>
      <c r="U56" s="76"/>
      <c r="V56" s="76"/>
      <c r="W56" s="76">
        <f>R56*1</f>
        <v>51303</v>
      </c>
      <c r="X56" s="44">
        <f t="shared" si="79"/>
        <v>11262.1920041988</v>
      </c>
      <c r="Y56" s="76">
        <v>14442</v>
      </c>
      <c r="Z56" s="103">
        <f t="shared" si="80"/>
        <v>0</v>
      </c>
      <c r="AA56" s="44">
        <f t="shared" si="81"/>
        <v>0</v>
      </c>
      <c r="AB56" s="44"/>
      <c r="AC56" s="44"/>
      <c r="AD56" s="44">
        <v>1800</v>
      </c>
      <c r="AE56" s="76">
        <f>K56</f>
        <v>120024</v>
      </c>
      <c r="AF56" s="44">
        <f t="shared" ref="AF56:AF61" si="86">AE56/$AE$10*372626.55</f>
        <v>12502.3919343759</v>
      </c>
      <c r="AG56" s="44">
        <f>VLOOKUP(B:B,[2]Sheet2!$B:$E,4,0)</f>
        <v>13</v>
      </c>
      <c r="AH56" s="44">
        <f t="shared" si="82"/>
        <v>130.391173520562</v>
      </c>
      <c r="AI56" s="44"/>
      <c r="AJ56" s="115">
        <f>VLOOKUP(B:B,'[1]扶贫资金项目情况调度统计表 (2)'!$B:$I,8,0)</f>
        <v>0.778925591598975</v>
      </c>
      <c r="AK56" s="44">
        <f t="shared" si="83"/>
        <v>238.974223985715</v>
      </c>
      <c r="AL56" s="76">
        <v>91.09</v>
      </c>
      <c r="AM56" s="44">
        <f t="shared" si="84"/>
        <v>253.614906862201</v>
      </c>
      <c r="AN56" s="67">
        <f t="shared" si="85"/>
        <v>26188</v>
      </c>
      <c r="AO56" s="44" t="e">
        <f>#REF!*1254933/1408452</f>
        <v>#REF!</v>
      </c>
      <c r="AP56" s="44" t="e">
        <f t="shared" si="12"/>
        <v>#REF!</v>
      </c>
      <c r="AQ56" s="126" t="e">
        <f t="shared" si="13"/>
        <v>#REF!</v>
      </c>
      <c r="AR56" s="44">
        <v>170</v>
      </c>
      <c r="AS56" s="44">
        <v>0</v>
      </c>
      <c r="AT56" s="44">
        <v>0</v>
      </c>
      <c r="AU56" s="127">
        <f t="shared" si="72"/>
        <v>26358</v>
      </c>
    </row>
    <row r="57" ht="17" customHeight="1" spans="1:47">
      <c r="A57" s="31">
        <v>30</v>
      </c>
      <c r="B57" s="51" t="s">
        <v>106</v>
      </c>
      <c r="C57" s="31" t="s">
        <v>90</v>
      </c>
      <c r="D57" s="31">
        <v>2018</v>
      </c>
      <c r="E57" s="31" t="s">
        <v>91</v>
      </c>
      <c r="F57" s="31"/>
      <c r="G57" s="44">
        <v>14687</v>
      </c>
      <c r="H57" s="44"/>
      <c r="I57" s="44"/>
      <c r="J57" s="75">
        <v>96295</v>
      </c>
      <c r="K57" s="76">
        <f t="shared" si="66"/>
        <v>57777</v>
      </c>
      <c r="L57" s="76">
        <f t="shared" si="67"/>
        <v>0</v>
      </c>
      <c r="M57" s="76">
        <f t="shared" si="68"/>
        <v>0</v>
      </c>
      <c r="N57" s="76">
        <f t="shared" si="69"/>
        <v>57777</v>
      </c>
      <c r="O57" s="76">
        <f t="shared" si="70"/>
        <v>0</v>
      </c>
      <c r="P57" s="76">
        <f t="shared" si="71"/>
        <v>0</v>
      </c>
      <c r="Q57" s="44">
        <v>9703</v>
      </c>
      <c r="R57" s="76">
        <v>5894</v>
      </c>
      <c r="S57" s="76">
        <f t="shared" si="77"/>
        <v>4715.2</v>
      </c>
      <c r="T57" s="76"/>
      <c r="U57" s="76"/>
      <c r="V57" s="76">
        <f t="shared" ref="V57:V60" si="87">R57*0.8</f>
        <v>4715.2</v>
      </c>
      <c r="W57" s="76"/>
      <c r="X57" s="44">
        <f t="shared" si="79"/>
        <v>4082.81261559191</v>
      </c>
      <c r="Y57" s="76">
        <v>14804</v>
      </c>
      <c r="Z57" s="103">
        <f t="shared" si="80"/>
        <v>0</v>
      </c>
      <c r="AA57" s="44">
        <f t="shared" si="81"/>
        <v>0</v>
      </c>
      <c r="AB57" s="44"/>
      <c r="AC57" s="44"/>
      <c r="AD57" s="44"/>
      <c r="AE57" s="76">
        <f>K57*0.6</f>
        <v>34666.2</v>
      </c>
      <c r="AF57" s="44">
        <f t="shared" si="86"/>
        <v>3611.03128770464</v>
      </c>
      <c r="AG57" s="44">
        <f>VLOOKUP(B:B,[2]Sheet2!$B:$E,4,0)</f>
        <v>7</v>
      </c>
      <c r="AH57" s="44">
        <f t="shared" si="82"/>
        <v>70.2106318956871</v>
      </c>
      <c r="AI57" s="44"/>
      <c r="AJ57" s="115">
        <f>VLOOKUP(B:B,'[1]扶贫资金项目情况调度统计表 (2)'!$B:$I,8,0)</f>
        <v>0.925908794547113</v>
      </c>
      <c r="AK57" s="44">
        <f t="shared" si="83"/>
        <v>284.068642813785</v>
      </c>
      <c r="AL57" s="76">
        <v>91.92</v>
      </c>
      <c r="AM57" s="44">
        <f t="shared" si="84"/>
        <v>255.925812260111</v>
      </c>
      <c r="AN57" s="67">
        <f t="shared" si="85"/>
        <v>8304</v>
      </c>
      <c r="AO57" s="44" t="e">
        <f>#REF!*1254933/1408452</f>
        <v>#REF!</v>
      </c>
      <c r="AP57" s="44" t="e">
        <f t="shared" si="12"/>
        <v>#REF!</v>
      </c>
      <c r="AQ57" s="126" t="e">
        <f t="shared" si="13"/>
        <v>#REF!</v>
      </c>
      <c r="AR57" s="44">
        <v>0</v>
      </c>
      <c r="AS57" s="44">
        <v>0</v>
      </c>
      <c r="AT57" s="44">
        <v>0</v>
      </c>
      <c r="AU57" s="127">
        <f t="shared" si="72"/>
        <v>8304</v>
      </c>
    </row>
    <row r="58" ht="17" customHeight="1" spans="1:47">
      <c r="A58" s="31">
        <v>31</v>
      </c>
      <c r="B58" s="51" t="s">
        <v>105</v>
      </c>
      <c r="C58" s="31" t="s">
        <v>90</v>
      </c>
      <c r="D58" s="31">
        <v>2017</v>
      </c>
      <c r="E58" s="31"/>
      <c r="F58" s="31"/>
      <c r="G58" s="44">
        <v>5894</v>
      </c>
      <c r="H58" s="44"/>
      <c r="I58" s="44"/>
      <c r="J58" s="75">
        <v>36640</v>
      </c>
      <c r="K58" s="76">
        <f t="shared" si="66"/>
        <v>14656</v>
      </c>
      <c r="L58" s="76">
        <f t="shared" si="67"/>
        <v>0</v>
      </c>
      <c r="M58" s="76">
        <f t="shared" si="68"/>
        <v>14656</v>
      </c>
      <c r="N58" s="76">
        <f t="shared" si="69"/>
        <v>0</v>
      </c>
      <c r="O58" s="76">
        <f t="shared" si="70"/>
        <v>0</v>
      </c>
      <c r="P58" s="76">
        <f t="shared" si="71"/>
        <v>0</v>
      </c>
      <c r="Q58" s="44">
        <v>5824</v>
      </c>
      <c r="R58" s="76">
        <v>4424</v>
      </c>
      <c r="S58" s="76">
        <f t="shared" si="77"/>
        <v>3539.2</v>
      </c>
      <c r="T58" s="76"/>
      <c r="U58" s="76"/>
      <c r="V58" s="76">
        <f t="shared" si="87"/>
        <v>3539.2</v>
      </c>
      <c r="W58" s="76"/>
      <c r="X58" s="44">
        <f t="shared" si="79"/>
        <v>1446.94472551291</v>
      </c>
      <c r="Y58" s="76">
        <v>17502</v>
      </c>
      <c r="Z58" s="103">
        <f t="shared" si="80"/>
        <v>0</v>
      </c>
      <c r="AA58" s="44">
        <f t="shared" si="81"/>
        <v>0</v>
      </c>
      <c r="AB58" s="44"/>
      <c r="AC58" s="44"/>
      <c r="AD58" s="44"/>
      <c r="AE58" s="76"/>
      <c r="AF58" s="44"/>
      <c r="AG58" s="44">
        <f>VLOOKUP(B:B,[2]Sheet2!$B:$E,4,0)</f>
        <v>8</v>
      </c>
      <c r="AH58" s="44">
        <f t="shared" si="82"/>
        <v>80.2407221664995</v>
      </c>
      <c r="AI58" s="44"/>
      <c r="AJ58" s="115">
        <f>VLOOKUP(B:B,'[1]扶贫资金项目情况调度统计表 (2)'!$B:$I,8,0)</f>
        <v>0.827652977039977</v>
      </c>
      <c r="AK58" s="44">
        <f t="shared" si="83"/>
        <v>253.923776610777</v>
      </c>
      <c r="AL58" s="76">
        <v>90.42</v>
      </c>
      <c r="AM58" s="44">
        <f t="shared" si="84"/>
        <v>251.749477203647</v>
      </c>
      <c r="AN58" s="67">
        <f t="shared" si="85"/>
        <v>2033</v>
      </c>
      <c r="AO58" s="44" t="e">
        <f>#REF!*1254933/1408452</f>
        <v>#REF!</v>
      </c>
      <c r="AP58" s="44" t="e">
        <f t="shared" si="12"/>
        <v>#REF!</v>
      </c>
      <c r="AQ58" s="126" t="e">
        <f t="shared" si="13"/>
        <v>#REF!</v>
      </c>
      <c r="AR58" s="44">
        <v>0</v>
      </c>
      <c r="AS58" s="44">
        <v>0</v>
      </c>
      <c r="AT58" s="44">
        <v>0</v>
      </c>
      <c r="AU58" s="127">
        <f t="shared" si="72"/>
        <v>2033</v>
      </c>
    </row>
    <row r="59" ht="17" customHeight="1" spans="1:47">
      <c r="A59" s="31">
        <v>32</v>
      </c>
      <c r="B59" s="51" t="s">
        <v>104</v>
      </c>
      <c r="C59" s="31" t="s">
        <v>90</v>
      </c>
      <c r="D59" s="31">
        <v>2018</v>
      </c>
      <c r="E59" s="31"/>
      <c r="F59" s="31"/>
      <c r="G59" s="44">
        <v>8213</v>
      </c>
      <c r="H59" s="44"/>
      <c r="I59" s="44"/>
      <c r="J59" s="75">
        <v>64465</v>
      </c>
      <c r="K59" s="76">
        <f t="shared" si="66"/>
        <v>38679</v>
      </c>
      <c r="L59" s="76">
        <f t="shared" si="67"/>
        <v>0</v>
      </c>
      <c r="M59" s="76">
        <f t="shared" si="68"/>
        <v>0</v>
      </c>
      <c r="N59" s="76">
        <f t="shared" si="69"/>
        <v>38679</v>
      </c>
      <c r="O59" s="76">
        <f t="shared" si="70"/>
        <v>0</v>
      </c>
      <c r="P59" s="76">
        <f t="shared" si="71"/>
        <v>0</v>
      </c>
      <c r="Q59" s="44">
        <v>5660</v>
      </c>
      <c r="R59" s="76">
        <v>5692</v>
      </c>
      <c r="S59" s="76">
        <f t="shared" si="77"/>
        <v>4553.6</v>
      </c>
      <c r="T59" s="76"/>
      <c r="U59" s="76"/>
      <c r="V59" s="76">
        <f t="shared" si="87"/>
        <v>4553.6</v>
      </c>
      <c r="W59" s="76"/>
      <c r="X59" s="44">
        <f t="shared" si="79"/>
        <v>2764.47784220941</v>
      </c>
      <c r="Y59" s="76">
        <v>14066</v>
      </c>
      <c r="Z59" s="103">
        <f t="shared" si="80"/>
        <v>0</v>
      </c>
      <c r="AA59" s="44">
        <f t="shared" si="81"/>
        <v>0</v>
      </c>
      <c r="AB59" s="44"/>
      <c r="AC59" s="44"/>
      <c r="AD59" s="44"/>
      <c r="AE59" s="76"/>
      <c r="AF59" s="44"/>
      <c r="AG59" s="44">
        <f>VLOOKUP(B:B,[2]Sheet2!$B:$E,4,0)</f>
        <v>6</v>
      </c>
      <c r="AH59" s="44">
        <f t="shared" si="82"/>
        <v>60.1805416248746</v>
      </c>
      <c r="AI59" s="44"/>
      <c r="AJ59" s="115">
        <f>VLOOKUP(B:B,'[1]扶贫资金项目情况调度统计表 (2)'!$B:$I,8,0)</f>
        <v>0.868623506053371</v>
      </c>
      <c r="AK59" s="44">
        <f t="shared" si="83"/>
        <v>266.493527152882</v>
      </c>
      <c r="AL59" s="76">
        <v>94.03</v>
      </c>
      <c r="AM59" s="44">
        <f t="shared" si="84"/>
        <v>261.800523572871</v>
      </c>
      <c r="AN59" s="67">
        <f t="shared" si="85"/>
        <v>3353</v>
      </c>
      <c r="AO59" s="44" t="e">
        <f>#REF!*1254933/1408452</f>
        <v>#REF!</v>
      </c>
      <c r="AP59" s="44" t="e">
        <f t="shared" si="12"/>
        <v>#REF!</v>
      </c>
      <c r="AQ59" s="126" t="e">
        <f t="shared" si="13"/>
        <v>#REF!</v>
      </c>
      <c r="AR59" s="44">
        <v>500</v>
      </c>
      <c r="AS59" s="44">
        <v>0</v>
      </c>
      <c r="AT59" s="44">
        <v>103</v>
      </c>
      <c r="AU59" s="127">
        <f t="shared" si="72"/>
        <v>3956</v>
      </c>
    </row>
    <row r="60" ht="17" customHeight="1" spans="1:47">
      <c r="A60" s="31">
        <v>33</v>
      </c>
      <c r="B60" s="51" t="s">
        <v>103</v>
      </c>
      <c r="C60" s="31" t="s">
        <v>78</v>
      </c>
      <c r="D60" s="31"/>
      <c r="E60" s="31"/>
      <c r="F60" s="31"/>
      <c r="G60" s="44">
        <v>4873</v>
      </c>
      <c r="H60" s="44"/>
      <c r="I60" s="44"/>
      <c r="J60" s="75">
        <v>33845</v>
      </c>
      <c r="K60" s="76">
        <f t="shared" si="66"/>
        <v>6769</v>
      </c>
      <c r="L60" s="76">
        <f t="shared" si="67"/>
        <v>6769</v>
      </c>
      <c r="M60" s="76">
        <f t="shared" si="68"/>
        <v>0</v>
      </c>
      <c r="N60" s="76">
        <f t="shared" si="69"/>
        <v>0</v>
      </c>
      <c r="O60" s="76">
        <f t="shared" si="70"/>
        <v>0</v>
      </c>
      <c r="P60" s="76">
        <f t="shared" si="71"/>
        <v>0</v>
      </c>
      <c r="Q60" s="44">
        <v>7128</v>
      </c>
      <c r="R60" s="76">
        <v>3734</v>
      </c>
      <c r="S60" s="76">
        <f t="shared" si="77"/>
        <v>2987.2</v>
      </c>
      <c r="T60" s="76"/>
      <c r="U60" s="76"/>
      <c r="V60" s="76">
        <f t="shared" si="87"/>
        <v>2987.2</v>
      </c>
      <c r="W60" s="76"/>
      <c r="X60" s="44">
        <f t="shared" si="79"/>
        <v>1093.79871048208</v>
      </c>
      <c r="Y60" s="76">
        <v>17518</v>
      </c>
      <c r="Z60" s="103">
        <f t="shared" si="80"/>
        <v>0</v>
      </c>
      <c r="AA60" s="44">
        <f t="shared" si="81"/>
        <v>0</v>
      </c>
      <c r="AB60" s="44"/>
      <c r="AC60" s="44"/>
      <c r="AD60" s="44"/>
      <c r="AE60" s="76"/>
      <c r="AF60" s="44"/>
      <c r="AG60" s="44">
        <f>VLOOKUP(B:B,[2]Sheet2!$B:$E,4,0)</f>
        <v>8</v>
      </c>
      <c r="AH60" s="44">
        <f t="shared" si="82"/>
        <v>80.2407221664995</v>
      </c>
      <c r="AI60" s="44"/>
      <c r="AJ60" s="115">
        <f>VLOOKUP(B:B,'[1]扶贫资金项目情况调度统计表 (2)'!$B:$I,8,0)</f>
        <v>0.874880104278535</v>
      </c>
      <c r="AK60" s="44">
        <f t="shared" si="83"/>
        <v>268.413050303456</v>
      </c>
      <c r="AL60" s="76">
        <v>90.83</v>
      </c>
      <c r="AM60" s="44">
        <f t="shared" si="84"/>
        <v>252.891008785748</v>
      </c>
      <c r="AN60" s="67">
        <f t="shared" si="85"/>
        <v>1695</v>
      </c>
      <c r="AO60" s="44" t="e">
        <f>#REF!*1254933/1408452</f>
        <v>#REF!</v>
      </c>
      <c r="AP60" s="44" t="e">
        <f t="shared" si="12"/>
        <v>#REF!</v>
      </c>
      <c r="AQ60" s="126" t="e">
        <f t="shared" si="13"/>
        <v>#REF!</v>
      </c>
      <c r="AR60" s="44">
        <v>0</v>
      </c>
      <c r="AS60" s="44">
        <v>0</v>
      </c>
      <c r="AT60" s="44">
        <v>0</v>
      </c>
      <c r="AU60" s="127">
        <f t="shared" si="72"/>
        <v>1695</v>
      </c>
    </row>
    <row r="61" s="3" customFormat="1" ht="17" customHeight="1" spans="1:47">
      <c r="A61" s="56">
        <v>34</v>
      </c>
      <c r="B61" s="57" t="s">
        <v>107</v>
      </c>
      <c r="C61" s="56" t="s">
        <v>93</v>
      </c>
      <c r="D61" s="56">
        <v>2020</v>
      </c>
      <c r="E61" s="56" t="s">
        <v>94</v>
      </c>
      <c r="F61" s="56"/>
      <c r="G61" s="44">
        <v>70947</v>
      </c>
      <c r="H61" s="44"/>
      <c r="I61" s="44"/>
      <c r="J61" s="79">
        <v>314717</v>
      </c>
      <c r="K61" s="80">
        <f t="shared" si="66"/>
        <v>314717</v>
      </c>
      <c r="L61" s="80">
        <f t="shared" si="67"/>
        <v>0</v>
      </c>
      <c r="M61" s="80">
        <f t="shared" si="68"/>
        <v>0</v>
      </c>
      <c r="N61" s="80">
        <f t="shared" si="69"/>
        <v>0</v>
      </c>
      <c r="O61" s="80">
        <f t="shared" si="70"/>
        <v>0</v>
      </c>
      <c r="P61" s="80">
        <f t="shared" si="71"/>
        <v>314717</v>
      </c>
      <c r="Q61" s="86">
        <v>35166</v>
      </c>
      <c r="R61" s="80">
        <v>83627</v>
      </c>
      <c r="S61" s="80">
        <f t="shared" si="77"/>
        <v>83627</v>
      </c>
      <c r="T61" s="80"/>
      <c r="U61" s="80"/>
      <c r="V61" s="80"/>
      <c r="W61" s="80">
        <f>R61*1</f>
        <v>83627</v>
      </c>
      <c r="X61" s="86">
        <f t="shared" si="79"/>
        <v>24813.3767470098</v>
      </c>
      <c r="Y61" s="80">
        <v>12298</v>
      </c>
      <c r="Z61" s="106">
        <f t="shared" si="80"/>
        <v>0.102932828760643</v>
      </c>
      <c r="AA61" s="86">
        <f t="shared" si="81"/>
        <v>1430.75249292675</v>
      </c>
      <c r="AB61" s="86"/>
      <c r="AC61" s="86"/>
      <c r="AD61" s="86">
        <v>1800</v>
      </c>
      <c r="AE61" s="80">
        <f>K61</f>
        <v>314717</v>
      </c>
      <c r="AF61" s="86">
        <f t="shared" si="86"/>
        <v>32782.7374725969</v>
      </c>
      <c r="AG61" s="86">
        <f>VLOOKUP(B:B,[2]Sheet2!$B:$E,4,0)</f>
        <v>6</v>
      </c>
      <c r="AH61" s="86">
        <f t="shared" si="82"/>
        <v>60.1805416248746</v>
      </c>
      <c r="AI61" s="86"/>
      <c r="AJ61" s="113">
        <f>VLOOKUP(B:B,'[1]扶贫资金项目情况调度统计表 (2)'!$B:$I,8,0)</f>
        <v>0.737490468949119</v>
      </c>
      <c r="AK61" s="86">
        <f t="shared" si="83"/>
        <v>226.261936203932</v>
      </c>
      <c r="AL61" s="80">
        <v>93.63</v>
      </c>
      <c r="AM61" s="86">
        <f t="shared" si="84"/>
        <v>260.68683422448</v>
      </c>
      <c r="AN61" s="65">
        <f t="shared" si="85"/>
        <v>61374</v>
      </c>
      <c r="AO61" s="44" t="e">
        <f>#REF!*1254933/1408452</f>
        <v>#REF!</v>
      </c>
      <c r="AP61" s="86" t="e">
        <f t="shared" si="12"/>
        <v>#REF!</v>
      </c>
      <c r="AQ61" s="125" t="e">
        <f t="shared" si="13"/>
        <v>#REF!</v>
      </c>
      <c r="AR61" s="86">
        <v>1259</v>
      </c>
      <c r="AS61" s="86">
        <v>0</v>
      </c>
      <c r="AT61" s="86">
        <v>0</v>
      </c>
      <c r="AU61" s="127">
        <f t="shared" si="72"/>
        <v>62633</v>
      </c>
    </row>
    <row r="62" s="6" customFormat="1" ht="17" customHeight="1" spans="1:85">
      <c r="A62" s="39"/>
      <c r="B62" s="40" t="s">
        <v>110</v>
      </c>
      <c r="C62" s="41">
        <v>1</v>
      </c>
      <c r="D62" s="41"/>
      <c r="E62" s="41"/>
      <c r="F62" s="41"/>
      <c r="G62" s="43">
        <v>17468</v>
      </c>
      <c r="H62" s="43">
        <f>H63+H64</f>
        <v>0</v>
      </c>
      <c r="I62" s="43">
        <f>I63+I64</f>
        <v>0</v>
      </c>
      <c r="J62" s="54">
        <f t="shared" ref="J62:X62" si="88">J63+J64</f>
        <v>85777</v>
      </c>
      <c r="K62" s="77">
        <f t="shared" si="88"/>
        <v>17155.4</v>
      </c>
      <c r="L62" s="77">
        <f t="shared" si="88"/>
        <v>17155.4</v>
      </c>
      <c r="M62" s="77">
        <f t="shared" si="88"/>
        <v>0</v>
      </c>
      <c r="N62" s="77">
        <f t="shared" si="88"/>
        <v>0</v>
      </c>
      <c r="O62" s="77">
        <f t="shared" si="88"/>
        <v>0</v>
      </c>
      <c r="P62" s="77">
        <f t="shared" si="88"/>
        <v>0</v>
      </c>
      <c r="Q62" s="43">
        <v>9845</v>
      </c>
      <c r="R62" s="77">
        <f t="shared" si="88"/>
        <v>5246</v>
      </c>
      <c r="S62" s="77">
        <f t="shared" si="88"/>
        <v>2921.2</v>
      </c>
      <c r="T62" s="77">
        <f t="shared" si="88"/>
        <v>452.8</v>
      </c>
      <c r="U62" s="77">
        <f t="shared" si="88"/>
        <v>2468.4</v>
      </c>
      <c r="V62" s="77">
        <f t="shared" si="88"/>
        <v>0</v>
      </c>
      <c r="W62" s="77">
        <f t="shared" si="88"/>
        <v>0</v>
      </c>
      <c r="X62" s="43">
        <f t="shared" si="88"/>
        <v>1839.43569004625</v>
      </c>
      <c r="Y62" s="77"/>
      <c r="Z62" s="104">
        <f t="shared" ref="Z62:AD62" si="89">Z63+Z64</f>
        <v>0</v>
      </c>
      <c r="AA62" s="43">
        <f t="shared" si="89"/>
        <v>0</v>
      </c>
      <c r="AB62" s="43">
        <v>0</v>
      </c>
      <c r="AC62" s="43">
        <f t="shared" si="89"/>
        <v>0</v>
      </c>
      <c r="AD62" s="43">
        <f t="shared" si="89"/>
        <v>0</v>
      </c>
      <c r="AE62" s="54">
        <f t="shared" ref="AE62:AI62" si="90">AE63+AE64</f>
        <v>0</v>
      </c>
      <c r="AF62" s="43">
        <f t="shared" si="90"/>
        <v>0</v>
      </c>
      <c r="AG62" s="43">
        <f t="shared" si="90"/>
        <v>67</v>
      </c>
      <c r="AH62" s="43">
        <f t="shared" si="90"/>
        <v>672.016048144433</v>
      </c>
      <c r="AI62" s="43">
        <f t="shared" si="90"/>
        <v>0</v>
      </c>
      <c r="AJ62" s="118"/>
      <c r="AK62" s="43">
        <f t="shared" ref="AK62:AO62" si="91">AK63+AK64</f>
        <v>2509.97088592019</v>
      </c>
      <c r="AL62" s="54">
        <f t="shared" si="91"/>
        <v>845.87</v>
      </c>
      <c r="AM62" s="43">
        <f t="shared" si="91"/>
        <v>2355.09102280745</v>
      </c>
      <c r="AN62" s="119">
        <f t="shared" si="91"/>
        <v>7375</v>
      </c>
      <c r="AO62" s="43" t="e">
        <f t="shared" si="91"/>
        <v>#REF!</v>
      </c>
      <c r="AP62" s="86" t="e">
        <f t="shared" si="12"/>
        <v>#REF!</v>
      </c>
      <c r="AQ62" s="125" t="e">
        <f t="shared" si="13"/>
        <v>#REF!</v>
      </c>
      <c r="AR62" s="43">
        <v>1646</v>
      </c>
      <c r="AS62" s="43">
        <v>0</v>
      </c>
      <c r="AT62" s="43">
        <v>174</v>
      </c>
      <c r="AU62" s="43">
        <f>AU63+AU64</f>
        <v>9195</v>
      </c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</row>
    <row r="63" ht="17" customHeight="1" spans="1:47">
      <c r="A63" s="29"/>
      <c r="B63" s="30" t="s">
        <v>111</v>
      </c>
      <c r="C63" s="31">
        <v>2</v>
      </c>
      <c r="D63" s="31"/>
      <c r="E63" s="31"/>
      <c r="F63" s="31"/>
      <c r="G63" s="44">
        <v>63</v>
      </c>
      <c r="H63" s="44"/>
      <c r="I63" s="44"/>
      <c r="J63" s="75"/>
      <c r="K63" s="76">
        <f t="shared" ref="K63:K73" si="92">SUM(L63:P63)</f>
        <v>0</v>
      </c>
      <c r="L63" s="76">
        <f t="shared" ref="L63:L73" si="93">IF(D63="",J63*0.2,0)</f>
        <v>0</v>
      </c>
      <c r="M63" s="76">
        <f t="shared" ref="M63:M73" si="94">IF(D63=2017,J63*0.4,0)</f>
        <v>0</v>
      </c>
      <c r="N63" s="76">
        <f t="shared" ref="N63:N73" si="95">IF(D63=2018,J63*0.6,0)</f>
        <v>0</v>
      </c>
      <c r="O63" s="76">
        <f t="shared" ref="O63:O73" si="96">IF(D63=2019,J63*0.8,0)</f>
        <v>0</v>
      </c>
      <c r="P63" s="76">
        <f t="shared" ref="P63:P73" si="97">IF(D63=2020,J63*1,0)</f>
        <v>0</v>
      </c>
      <c r="Q63" s="44"/>
      <c r="R63" s="76"/>
      <c r="S63" s="76">
        <f>O63*0.4+P63*0.6+Q63*0.8+R63*1</f>
        <v>0</v>
      </c>
      <c r="T63" s="76">
        <f>R63-U63-V63-W63</f>
        <v>0</v>
      </c>
      <c r="U63" s="76"/>
      <c r="V63" s="76"/>
      <c r="W63" s="76"/>
      <c r="X63" s="44"/>
      <c r="Y63" s="76"/>
      <c r="Z63" s="103"/>
      <c r="AA63" s="44"/>
      <c r="AB63" s="44"/>
      <c r="AC63" s="44"/>
      <c r="AD63" s="44"/>
      <c r="AE63" s="76"/>
      <c r="AF63" s="44"/>
      <c r="AG63" s="44"/>
      <c r="AH63" s="44"/>
      <c r="AI63" s="44"/>
      <c r="AJ63" s="115"/>
      <c r="AK63" s="44"/>
      <c r="AL63" s="76"/>
      <c r="AM63" s="44"/>
      <c r="AN63" s="44"/>
      <c r="AO63" s="44"/>
      <c r="AP63" s="86">
        <f t="shared" si="12"/>
        <v>0</v>
      </c>
      <c r="AQ63" s="125"/>
      <c r="AR63" s="44"/>
      <c r="AS63" s="44"/>
      <c r="AT63" s="44">
        <v>67</v>
      </c>
      <c r="AU63" s="127">
        <f t="shared" ref="AU63:AU73" si="98">AT63+AS63+AR63+AN63</f>
        <v>67</v>
      </c>
    </row>
    <row r="64" s="7" customFormat="1" ht="17" customHeight="1" spans="1:85">
      <c r="A64" s="45"/>
      <c r="B64" s="46" t="s">
        <v>76</v>
      </c>
      <c r="C64" s="47">
        <v>3</v>
      </c>
      <c r="D64" s="47"/>
      <c r="E64" s="47"/>
      <c r="F64" s="47"/>
      <c r="G64" s="49">
        <v>17405</v>
      </c>
      <c r="H64" s="49">
        <f>SUM(H65:H73)</f>
        <v>0</v>
      </c>
      <c r="I64" s="49">
        <f>SUM(I65:I73)</f>
        <v>0</v>
      </c>
      <c r="J64" s="55">
        <f t="shared" ref="J64:X64" si="99">SUM(J65:J73)</f>
        <v>85777</v>
      </c>
      <c r="K64" s="78">
        <f t="shared" si="99"/>
        <v>17155.4</v>
      </c>
      <c r="L64" s="78">
        <f t="shared" si="99"/>
        <v>17155.4</v>
      </c>
      <c r="M64" s="78">
        <f t="shared" si="99"/>
        <v>0</v>
      </c>
      <c r="N64" s="78">
        <f t="shared" si="99"/>
        <v>0</v>
      </c>
      <c r="O64" s="78">
        <f t="shared" si="99"/>
        <v>0</v>
      </c>
      <c r="P64" s="78">
        <f t="shared" si="99"/>
        <v>0</v>
      </c>
      <c r="Q64" s="49">
        <v>9845</v>
      </c>
      <c r="R64" s="78">
        <f t="shared" si="99"/>
        <v>5246</v>
      </c>
      <c r="S64" s="78">
        <f t="shared" si="99"/>
        <v>2921.2</v>
      </c>
      <c r="T64" s="78">
        <f t="shared" si="99"/>
        <v>452.8</v>
      </c>
      <c r="U64" s="78">
        <f t="shared" si="99"/>
        <v>2468.4</v>
      </c>
      <c r="V64" s="78">
        <f t="shared" si="99"/>
        <v>0</v>
      </c>
      <c r="W64" s="78">
        <f t="shared" si="99"/>
        <v>0</v>
      </c>
      <c r="X64" s="49">
        <f t="shared" si="99"/>
        <v>1839.43569004625</v>
      </c>
      <c r="Y64" s="78"/>
      <c r="Z64" s="105">
        <f t="shared" ref="Z64:AD64" si="100">SUM(Z65:Z73)</f>
        <v>0</v>
      </c>
      <c r="AA64" s="49">
        <f t="shared" si="100"/>
        <v>0</v>
      </c>
      <c r="AB64" s="49">
        <v>0</v>
      </c>
      <c r="AC64" s="49">
        <f t="shared" si="100"/>
        <v>0</v>
      </c>
      <c r="AD64" s="49">
        <f t="shared" si="100"/>
        <v>0</v>
      </c>
      <c r="AE64" s="55">
        <f t="shared" ref="AE64:AI64" si="101">SUM(AE65:AE73)</f>
        <v>0</v>
      </c>
      <c r="AF64" s="49">
        <f t="shared" si="101"/>
        <v>0</v>
      </c>
      <c r="AG64" s="49">
        <f t="shared" si="101"/>
        <v>67</v>
      </c>
      <c r="AH64" s="49">
        <f t="shared" si="101"/>
        <v>672.016048144433</v>
      </c>
      <c r="AI64" s="49">
        <f t="shared" si="101"/>
        <v>0</v>
      </c>
      <c r="AJ64" s="120"/>
      <c r="AK64" s="49">
        <f t="shared" ref="AK64:AO64" si="102">SUM(AK65:AK73)</f>
        <v>2509.97088592019</v>
      </c>
      <c r="AL64" s="55">
        <f t="shared" si="102"/>
        <v>845.87</v>
      </c>
      <c r="AM64" s="49">
        <f t="shared" si="102"/>
        <v>2355.09102280745</v>
      </c>
      <c r="AN64" s="121">
        <f t="shared" si="102"/>
        <v>7375</v>
      </c>
      <c r="AO64" s="49" t="e">
        <f t="shared" si="102"/>
        <v>#REF!</v>
      </c>
      <c r="AP64" s="86" t="e">
        <f t="shared" si="12"/>
        <v>#REF!</v>
      </c>
      <c r="AQ64" s="125" t="e">
        <f t="shared" si="13"/>
        <v>#REF!</v>
      </c>
      <c r="AR64" s="49">
        <v>1646</v>
      </c>
      <c r="AS64" s="49">
        <v>0</v>
      </c>
      <c r="AT64" s="49">
        <v>107</v>
      </c>
      <c r="AU64" s="49">
        <f>SUM(AU65:AU73)</f>
        <v>9128</v>
      </c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</row>
    <row r="65" ht="17" customHeight="1" spans="1:47">
      <c r="A65" s="31">
        <v>35</v>
      </c>
      <c r="B65" s="51" t="s">
        <v>112</v>
      </c>
      <c r="C65" s="31" t="s">
        <v>78</v>
      </c>
      <c r="D65" s="31"/>
      <c r="E65" s="31"/>
      <c r="F65" s="31"/>
      <c r="G65" s="44">
        <v>2135</v>
      </c>
      <c r="H65" s="44"/>
      <c r="I65" s="44"/>
      <c r="J65" s="75">
        <v>5253</v>
      </c>
      <c r="K65" s="76">
        <f t="shared" si="92"/>
        <v>1050.6</v>
      </c>
      <c r="L65" s="76">
        <f t="shared" si="93"/>
        <v>1050.6</v>
      </c>
      <c r="M65" s="76">
        <f t="shared" si="94"/>
        <v>0</v>
      </c>
      <c r="N65" s="76">
        <f t="shared" si="95"/>
        <v>0</v>
      </c>
      <c r="O65" s="76">
        <f t="shared" si="96"/>
        <v>0</v>
      </c>
      <c r="P65" s="76">
        <f t="shared" si="97"/>
        <v>0</v>
      </c>
      <c r="Q65" s="44">
        <v>80</v>
      </c>
      <c r="R65" s="76">
        <v>343</v>
      </c>
      <c r="S65" s="76">
        <f t="shared" ref="S65:S73" si="103">T65+U65+V65+W65</f>
        <v>137.2</v>
      </c>
      <c r="T65" s="76">
        <f t="shared" ref="T65:T69" si="104">R65*0.4</f>
        <v>137.2</v>
      </c>
      <c r="U65" s="76"/>
      <c r="V65" s="76"/>
      <c r="W65" s="76"/>
      <c r="X65" s="44">
        <f t="shared" ref="X65:X73" si="105">(K65/$K$10*0.2+Q65/$Q$10*0.05+S65/$S$10*0.05)*1254933</f>
        <v>70.4452753483441</v>
      </c>
      <c r="Y65" s="76">
        <v>19988</v>
      </c>
      <c r="Z65" s="103">
        <f t="shared" ref="Z65:Z73" si="106">IF(Y65&lt;12842,(12842-Y65)/(12842-$Y$176),0)</f>
        <v>0</v>
      </c>
      <c r="AA65" s="44">
        <f t="shared" ref="AA65:AA73" si="107">(Z65/$Z$10*0.2)*1254933</f>
        <v>0</v>
      </c>
      <c r="AB65" s="44"/>
      <c r="AC65" s="44"/>
      <c r="AD65" s="44"/>
      <c r="AE65" s="76"/>
      <c r="AF65" s="44"/>
      <c r="AG65" s="44">
        <f>VLOOKUP(B:B,[2]Sheet2!$B:$E,4,0)</f>
        <v>8</v>
      </c>
      <c r="AH65" s="44">
        <f t="shared" ref="AH65:AH73" si="108">AG65/$AG$10*10000</f>
        <v>80.2407221664995</v>
      </c>
      <c r="AI65" s="44"/>
      <c r="AJ65" s="115">
        <f>VLOOKUP(B:B,'[1]扶贫资金项目情况调度统计表 (2)'!$B:$I,8,0)</f>
        <v>0.92497064393457</v>
      </c>
      <c r="AK65" s="44">
        <f t="shared" ref="AK65:AK73" si="109">AJ65/$AJ$10*0.025*1254933</f>
        <v>283.780818383529</v>
      </c>
      <c r="AL65" s="76">
        <v>94.68</v>
      </c>
      <c r="AM65" s="44">
        <f t="shared" ref="AM65:AM73" si="110">(AL65/$AL$10)*0.025*1254933</f>
        <v>263.610268764005</v>
      </c>
      <c r="AN65" s="67">
        <f t="shared" ref="AN65:AN73" si="111">ROUND(AM65+AK65+AI65+AF65+AH65+AD65+AC65+AA65+X65,0)</f>
        <v>698</v>
      </c>
      <c r="AO65" s="44" t="e">
        <f>#REF!*1254933/1408452</f>
        <v>#REF!</v>
      </c>
      <c r="AP65" s="44" t="e">
        <f t="shared" si="12"/>
        <v>#REF!</v>
      </c>
      <c r="AQ65" s="126" t="e">
        <f t="shared" si="13"/>
        <v>#REF!</v>
      </c>
      <c r="AR65" s="44">
        <v>0</v>
      </c>
      <c r="AS65" s="44">
        <v>0</v>
      </c>
      <c r="AT65" s="44">
        <v>0</v>
      </c>
      <c r="AU65" s="127">
        <f t="shared" si="98"/>
        <v>698</v>
      </c>
    </row>
    <row r="66" ht="17" customHeight="1" spans="1:47">
      <c r="A66" s="31">
        <v>36</v>
      </c>
      <c r="B66" s="51" t="s">
        <v>115</v>
      </c>
      <c r="C66" s="31" t="s">
        <v>78</v>
      </c>
      <c r="D66" s="31"/>
      <c r="E66" s="31"/>
      <c r="F66" s="31"/>
      <c r="G66" s="44">
        <v>1767</v>
      </c>
      <c r="H66" s="44"/>
      <c r="I66" s="44"/>
      <c r="J66" s="75">
        <v>2166</v>
      </c>
      <c r="K66" s="76">
        <f t="shared" si="92"/>
        <v>433.2</v>
      </c>
      <c r="L66" s="76">
        <f t="shared" si="93"/>
        <v>433.2</v>
      </c>
      <c r="M66" s="76">
        <f t="shared" si="94"/>
        <v>0</v>
      </c>
      <c r="N66" s="76">
        <f t="shared" si="95"/>
        <v>0</v>
      </c>
      <c r="O66" s="76">
        <f t="shared" si="96"/>
        <v>0</v>
      </c>
      <c r="P66" s="76">
        <f t="shared" si="97"/>
        <v>0</v>
      </c>
      <c r="Q66" s="44">
        <v>333</v>
      </c>
      <c r="R66" s="76">
        <v>88</v>
      </c>
      <c r="S66" s="76">
        <f t="shared" si="103"/>
        <v>35.2</v>
      </c>
      <c r="T66" s="76">
        <f t="shared" si="104"/>
        <v>35.2</v>
      </c>
      <c r="U66" s="76"/>
      <c r="V66" s="76"/>
      <c r="W66" s="76"/>
      <c r="X66" s="44">
        <f t="shared" si="105"/>
        <v>50.2064921885835</v>
      </c>
      <c r="Y66" s="76">
        <v>19397</v>
      </c>
      <c r="Z66" s="103">
        <f t="shared" si="106"/>
        <v>0</v>
      </c>
      <c r="AA66" s="44">
        <f t="shared" si="107"/>
        <v>0</v>
      </c>
      <c r="AB66" s="44"/>
      <c r="AC66" s="44"/>
      <c r="AD66" s="44"/>
      <c r="AE66" s="76"/>
      <c r="AF66" s="44"/>
      <c r="AG66" s="44">
        <f>VLOOKUP(B:B,[2]Sheet2!$B:$E,4,0)</f>
        <v>7</v>
      </c>
      <c r="AH66" s="44">
        <f t="shared" si="108"/>
        <v>70.2106318956871</v>
      </c>
      <c r="AI66" s="44"/>
      <c r="AJ66" s="115">
        <f>VLOOKUP(B:B,'[1]扶贫资金项目情况调度统计表 (2)'!$B:$I,8,0)</f>
        <v>0.856401119025967</v>
      </c>
      <c r="AK66" s="44">
        <f t="shared" si="109"/>
        <v>262.743701127611</v>
      </c>
      <c r="AL66" s="76">
        <v>96.27</v>
      </c>
      <c r="AM66" s="44">
        <f t="shared" si="110"/>
        <v>268.037183923857</v>
      </c>
      <c r="AN66" s="67">
        <f t="shared" si="111"/>
        <v>651</v>
      </c>
      <c r="AO66" s="44" t="e">
        <f>#REF!*1254933/1408452</f>
        <v>#REF!</v>
      </c>
      <c r="AP66" s="44" t="e">
        <f t="shared" si="12"/>
        <v>#REF!</v>
      </c>
      <c r="AQ66" s="126" t="e">
        <f t="shared" si="13"/>
        <v>#REF!</v>
      </c>
      <c r="AR66" s="44">
        <v>0</v>
      </c>
      <c r="AS66" s="44">
        <v>0</v>
      </c>
      <c r="AT66" s="44">
        <v>0</v>
      </c>
      <c r="AU66" s="127">
        <f t="shared" si="98"/>
        <v>651</v>
      </c>
    </row>
    <row r="67" ht="17" customHeight="1" spans="1:47">
      <c r="A67" s="31">
        <v>37</v>
      </c>
      <c r="B67" s="51" t="s">
        <v>113</v>
      </c>
      <c r="C67" s="31" t="s">
        <v>78</v>
      </c>
      <c r="D67" s="31"/>
      <c r="E67" s="31"/>
      <c r="F67" s="31"/>
      <c r="G67" s="44">
        <v>2428</v>
      </c>
      <c r="H67" s="44"/>
      <c r="I67" s="44"/>
      <c r="J67" s="75">
        <v>6785</v>
      </c>
      <c r="K67" s="76">
        <f t="shared" si="92"/>
        <v>1357</v>
      </c>
      <c r="L67" s="76">
        <f t="shared" si="93"/>
        <v>1357</v>
      </c>
      <c r="M67" s="76">
        <f t="shared" si="94"/>
        <v>0</v>
      </c>
      <c r="N67" s="76">
        <f t="shared" si="95"/>
        <v>0</v>
      </c>
      <c r="O67" s="76">
        <f t="shared" si="96"/>
        <v>0</v>
      </c>
      <c r="P67" s="76">
        <f t="shared" si="97"/>
        <v>0</v>
      </c>
      <c r="Q67" s="44">
        <v>520</v>
      </c>
      <c r="R67" s="76">
        <v>19</v>
      </c>
      <c r="S67" s="76">
        <f t="shared" si="103"/>
        <v>7.6</v>
      </c>
      <c r="T67" s="76">
        <f t="shared" si="104"/>
        <v>7.6</v>
      </c>
      <c r="U67" s="76"/>
      <c r="V67" s="76"/>
      <c r="W67" s="76"/>
      <c r="X67" s="44">
        <f t="shared" si="105"/>
        <v>110.943430140797</v>
      </c>
      <c r="Y67" s="76">
        <v>15701</v>
      </c>
      <c r="Z67" s="103">
        <f t="shared" si="106"/>
        <v>0</v>
      </c>
      <c r="AA67" s="44">
        <f t="shared" si="107"/>
        <v>0</v>
      </c>
      <c r="AB67" s="44"/>
      <c r="AC67" s="44"/>
      <c r="AD67" s="44"/>
      <c r="AE67" s="76"/>
      <c r="AF67" s="44"/>
      <c r="AG67" s="44">
        <f>VLOOKUP(B:B,[2]Sheet2!$B:$E,4,0)</f>
        <v>8</v>
      </c>
      <c r="AH67" s="44">
        <f t="shared" si="108"/>
        <v>80.2407221664995</v>
      </c>
      <c r="AI67" s="44"/>
      <c r="AJ67" s="115">
        <f>VLOOKUP(B:B,'[1]扶贫资金项目情况调度统计表 (2)'!$B:$I,8,0)</f>
        <v>0.922549224152388</v>
      </c>
      <c r="AK67" s="44">
        <f t="shared" si="109"/>
        <v>283.037927252936</v>
      </c>
      <c r="AL67" s="76">
        <v>99.14</v>
      </c>
      <c r="AM67" s="44">
        <f t="shared" si="110"/>
        <v>276.027904998558</v>
      </c>
      <c r="AN67" s="67">
        <f t="shared" si="111"/>
        <v>750</v>
      </c>
      <c r="AO67" s="44" t="e">
        <f>#REF!*1254933/1408452</f>
        <v>#REF!</v>
      </c>
      <c r="AP67" s="44" t="e">
        <f t="shared" si="12"/>
        <v>#REF!</v>
      </c>
      <c r="AQ67" s="126" t="e">
        <f t="shared" si="13"/>
        <v>#REF!</v>
      </c>
      <c r="AR67" s="44">
        <v>586</v>
      </c>
      <c r="AS67" s="44">
        <v>0</v>
      </c>
      <c r="AT67" s="44">
        <v>0</v>
      </c>
      <c r="AU67" s="127">
        <f t="shared" si="98"/>
        <v>1336</v>
      </c>
    </row>
    <row r="68" ht="17" customHeight="1" spans="1:47">
      <c r="A68" s="31">
        <v>38</v>
      </c>
      <c r="B68" s="51" t="s">
        <v>114</v>
      </c>
      <c r="C68" s="31" t="s">
        <v>78</v>
      </c>
      <c r="D68" s="31"/>
      <c r="E68" s="31"/>
      <c r="F68" s="31"/>
      <c r="G68" s="44">
        <v>2763</v>
      </c>
      <c r="H68" s="44"/>
      <c r="I68" s="44"/>
      <c r="J68" s="75">
        <v>6899</v>
      </c>
      <c r="K68" s="76">
        <f t="shared" si="92"/>
        <v>1379.8</v>
      </c>
      <c r="L68" s="76">
        <f t="shared" si="93"/>
        <v>1379.8</v>
      </c>
      <c r="M68" s="76">
        <f t="shared" si="94"/>
        <v>0</v>
      </c>
      <c r="N68" s="76">
        <f t="shared" si="95"/>
        <v>0</v>
      </c>
      <c r="O68" s="76">
        <f t="shared" si="96"/>
        <v>0</v>
      </c>
      <c r="P68" s="76">
        <f t="shared" si="97"/>
        <v>0</v>
      </c>
      <c r="Q68" s="44">
        <v>584</v>
      </c>
      <c r="R68" s="76">
        <v>272</v>
      </c>
      <c r="S68" s="76">
        <f t="shared" si="103"/>
        <v>108.8</v>
      </c>
      <c r="T68" s="76">
        <f t="shared" si="104"/>
        <v>108.8</v>
      </c>
      <c r="U68" s="76"/>
      <c r="V68" s="76"/>
      <c r="W68" s="76"/>
      <c r="X68" s="44">
        <f t="shared" si="105"/>
        <v>123.78439878497</v>
      </c>
      <c r="Y68" s="76">
        <v>17966</v>
      </c>
      <c r="Z68" s="103">
        <f t="shared" si="106"/>
        <v>0</v>
      </c>
      <c r="AA68" s="44">
        <f t="shared" si="107"/>
        <v>0</v>
      </c>
      <c r="AB68" s="44"/>
      <c r="AC68" s="44"/>
      <c r="AD68" s="44"/>
      <c r="AE68" s="76"/>
      <c r="AF68" s="44"/>
      <c r="AG68" s="44">
        <f>VLOOKUP(B:B,[2]Sheet2!$B:$E,4,0)</f>
        <v>8</v>
      </c>
      <c r="AH68" s="44">
        <f t="shared" si="108"/>
        <v>80.2407221664995</v>
      </c>
      <c r="AI68" s="44"/>
      <c r="AJ68" s="115">
        <f>VLOOKUP(B:B,'[1]扶贫资金项目情况调度统计表 (2)'!$B:$I,8,0)</f>
        <v>0.928404849929038</v>
      </c>
      <c r="AK68" s="44">
        <f t="shared" si="109"/>
        <v>284.834432132244</v>
      </c>
      <c r="AL68" s="76">
        <v>91.07</v>
      </c>
      <c r="AM68" s="44">
        <f t="shared" si="110"/>
        <v>253.559222394782</v>
      </c>
      <c r="AN68" s="67">
        <f t="shared" si="111"/>
        <v>742</v>
      </c>
      <c r="AO68" s="44" t="e">
        <f>#REF!*1254933/1408452</f>
        <v>#REF!</v>
      </c>
      <c r="AP68" s="44" t="e">
        <f t="shared" si="12"/>
        <v>#REF!</v>
      </c>
      <c r="AQ68" s="126" t="e">
        <f t="shared" si="13"/>
        <v>#REF!</v>
      </c>
      <c r="AR68" s="44">
        <v>0</v>
      </c>
      <c r="AS68" s="44">
        <v>0</v>
      </c>
      <c r="AT68" s="44">
        <v>107</v>
      </c>
      <c r="AU68" s="127">
        <f t="shared" si="98"/>
        <v>849</v>
      </c>
    </row>
    <row r="69" ht="17" customHeight="1" spans="1:47">
      <c r="A69" s="31">
        <v>39</v>
      </c>
      <c r="B69" s="51" t="s">
        <v>116</v>
      </c>
      <c r="C69" s="31" t="s">
        <v>78</v>
      </c>
      <c r="D69" s="31"/>
      <c r="E69" s="31"/>
      <c r="F69" s="31"/>
      <c r="G69" s="44">
        <v>1495</v>
      </c>
      <c r="H69" s="44"/>
      <c r="I69" s="44"/>
      <c r="J69" s="75">
        <v>9464</v>
      </c>
      <c r="K69" s="76">
        <f t="shared" si="92"/>
        <v>1892.8</v>
      </c>
      <c r="L69" s="76">
        <f t="shared" si="93"/>
        <v>1892.8</v>
      </c>
      <c r="M69" s="76">
        <f t="shared" si="94"/>
        <v>0</v>
      </c>
      <c r="N69" s="76">
        <f t="shared" si="95"/>
        <v>0</v>
      </c>
      <c r="O69" s="76">
        <f t="shared" si="96"/>
        <v>0</v>
      </c>
      <c r="P69" s="76">
        <f t="shared" si="97"/>
        <v>0</v>
      </c>
      <c r="Q69" s="44">
        <v>904</v>
      </c>
      <c r="R69" s="76">
        <v>102</v>
      </c>
      <c r="S69" s="76">
        <f t="shared" si="103"/>
        <v>40.8</v>
      </c>
      <c r="T69" s="76">
        <f t="shared" si="104"/>
        <v>40.8</v>
      </c>
      <c r="U69" s="76"/>
      <c r="V69" s="76"/>
      <c r="W69" s="76"/>
      <c r="X69" s="44">
        <f t="shared" si="105"/>
        <v>170.244712290144</v>
      </c>
      <c r="Y69" s="76">
        <v>16535</v>
      </c>
      <c r="Z69" s="103">
        <f t="shared" si="106"/>
        <v>0</v>
      </c>
      <c r="AA69" s="44">
        <f t="shared" si="107"/>
        <v>0</v>
      </c>
      <c r="AB69" s="44"/>
      <c r="AC69" s="44"/>
      <c r="AD69" s="44"/>
      <c r="AE69" s="76"/>
      <c r="AF69" s="44"/>
      <c r="AG69" s="44">
        <f>VLOOKUP(B:B,[2]Sheet2!$B:$E,4,0)</f>
        <v>8</v>
      </c>
      <c r="AH69" s="44">
        <f t="shared" si="108"/>
        <v>80.2407221664995</v>
      </c>
      <c r="AI69" s="44"/>
      <c r="AJ69" s="115">
        <f>VLOOKUP(B:B,'[1]扶贫资金项目情况调度统计表 (2)'!$B:$I,8,0)</f>
        <v>0.924538711620308</v>
      </c>
      <c r="AK69" s="44">
        <f t="shared" si="109"/>
        <v>283.648301631315</v>
      </c>
      <c r="AL69" s="76">
        <v>95.35</v>
      </c>
      <c r="AM69" s="44">
        <f t="shared" si="110"/>
        <v>265.475698422559</v>
      </c>
      <c r="AN69" s="67">
        <f t="shared" si="111"/>
        <v>800</v>
      </c>
      <c r="AO69" s="44" t="e">
        <f>#REF!*1254933/1408452</f>
        <v>#REF!</v>
      </c>
      <c r="AP69" s="44" t="e">
        <f t="shared" si="12"/>
        <v>#REF!</v>
      </c>
      <c r="AQ69" s="126" t="e">
        <f t="shared" si="13"/>
        <v>#REF!</v>
      </c>
      <c r="AR69" s="44">
        <v>0</v>
      </c>
      <c r="AS69" s="44">
        <v>0</v>
      </c>
      <c r="AT69" s="44">
        <v>0</v>
      </c>
      <c r="AU69" s="127">
        <f t="shared" si="98"/>
        <v>800</v>
      </c>
    </row>
    <row r="70" ht="17" customHeight="1" spans="1:47">
      <c r="A70" s="31">
        <v>40</v>
      </c>
      <c r="B70" s="51" t="s">
        <v>117</v>
      </c>
      <c r="C70" s="31" t="s">
        <v>78</v>
      </c>
      <c r="D70" s="31"/>
      <c r="E70" s="31"/>
      <c r="F70" s="31"/>
      <c r="G70" s="44">
        <v>1790</v>
      </c>
      <c r="H70" s="44"/>
      <c r="I70" s="44"/>
      <c r="J70" s="75">
        <v>11773</v>
      </c>
      <c r="K70" s="76">
        <f t="shared" si="92"/>
        <v>2354.6</v>
      </c>
      <c r="L70" s="76">
        <f t="shared" si="93"/>
        <v>2354.6</v>
      </c>
      <c r="M70" s="76">
        <f t="shared" si="94"/>
        <v>0</v>
      </c>
      <c r="N70" s="76">
        <f t="shared" si="95"/>
        <v>0</v>
      </c>
      <c r="O70" s="76">
        <f t="shared" si="96"/>
        <v>0</v>
      </c>
      <c r="P70" s="76">
        <f t="shared" si="97"/>
        <v>0</v>
      </c>
      <c r="Q70" s="44">
        <v>1010</v>
      </c>
      <c r="R70" s="76">
        <v>1238</v>
      </c>
      <c r="S70" s="76">
        <f t="shared" si="103"/>
        <v>742.8</v>
      </c>
      <c r="T70" s="76"/>
      <c r="U70" s="76">
        <f t="shared" ref="U70:U73" si="112">R70*0.6</f>
        <v>742.8</v>
      </c>
      <c r="V70" s="76"/>
      <c r="W70" s="76"/>
      <c r="X70" s="44">
        <f t="shared" si="105"/>
        <v>249.806075511339</v>
      </c>
      <c r="Y70" s="76">
        <v>16220</v>
      </c>
      <c r="Z70" s="103">
        <f t="shared" si="106"/>
        <v>0</v>
      </c>
      <c r="AA70" s="44">
        <f t="shared" si="107"/>
        <v>0</v>
      </c>
      <c r="AB70" s="44"/>
      <c r="AC70" s="44"/>
      <c r="AD70" s="44"/>
      <c r="AE70" s="76"/>
      <c r="AF70" s="44"/>
      <c r="AG70" s="44">
        <f>VLOOKUP(B:B,[2]Sheet2!$B:$E,4,0)</f>
        <v>8</v>
      </c>
      <c r="AH70" s="44">
        <f t="shared" si="108"/>
        <v>80.2407221664995</v>
      </c>
      <c r="AI70" s="44"/>
      <c r="AJ70" s="115">
        <f>VLOOKUP(B:B,'[1]扶贫资金项目情况调度统计表 (2)'!$B:$I,8,0)</f>
        <v>0.928261537369935</v>
      </c>
      <c r="AK70" s="44">
        <f t="shared" si="109"/>
        <v>284.790463866253</v>
      </c>
      <c r="AL70" s="76">
        <v>87.02</v>
      </c>
      <c r="AM70" s="44">
        <f t="shared" si="110"/>
        <v>242.283117742329</v>
      </c>
      <c r="AN70" s="67">
        <f t="shared" si="111"/>
        <v>857</v>
      </c>
      <c r="AO70" s="44" t="e">
        <f>#REF!*1254933/1408452</f>
        <v>#REF!</v>
      </c>
      <c r="AP70" s="44" t="e">
        <f t="shared" si="12"/>
        <v>#REF!</v>
      </c>
      <c r="AQ70" s="126" t="e">
        <f t="shared" si="13"/>
        <v>#REF!</v>
      </c>
      <c r="AR70" s="44">
        <v>0</v>
      </c>
      <c r="AS70" s="44">
        <v>0</v>
      </c>
      <c r="AT70" s="44">
        <v>0</v>
      </c>
      <c r="AU70" s="127">
        <f t="shared" si="98"/>
        <v>857</v>
      </c>
    </row>
    <row r="71" ht="17" customHeight="1" spans="1:47">
      <c r="A71" s="31">
        <v>41</v>
      </c>
      <c r="B71" s="51" t="s">
        <v>118</v>
      </c>
      <c r="C71" s="31" t="s">
        <v>78</v>
      </c>
      <c r="D71" s="31"/>
      <c r="E71" s="31"/>
      <c r="F71" s="31"/>
      <c r="G71" s="44">
        <v>1703</v>
      </c>
      <c r="H71" s="44"/>
      <c r="I71" s="44"/>
      <c r="J71" s="75">
        <v>10779</v>
      </c>
      <c r="K71" s="76">
        <f t="shared" si="92"/>
        <v>2155.8</v>
      </c>
      <c r="L71" s="76">
        <f t="shared" si="93"/>
        <v>2155.8</v>
      </c>
      <c r="M71" s="76">
        <f t="shared" si="94"/>
        <v>0</v>
      </c>
      <c r="N71" s="76">
        <f t="shared" si="95"/>
        <v>0</v>
      </c>
      <c r="O71" s="76">
        <f t="shared" si="96"/>
        <v>0</v>
      </c>
      <c r="P71" s="76">
        <f t="shared" si="97"/>
        <v>0</v>
      </c>
      <c r="Q71" s="44">
        <v>1472</v>
      </c>
      <c r="R71" s="76">
        <v>308</v>
      </c>
      <c r="S71" s="76">
        <f t="shared" si="103"/>
        <v>123.2</v>
      </c>
      <c r="T71" s="76">
        <f>R71*0.4</f>
        <v>123.2</v>
      </c>
      <c r="U71" s="76"/>
      <c r="V71" s="76"/>
      <c r="W71" s="76"/>
      <c r="X71" s="44">
        <f t="shared" si="105"/>
        <v>232.398414740603</v>
      </c>
      <c r="Y71" s="76">
        <v>15441</v>
      </c>
      <c r="Z71" s="103">
        <f t="shared" si="106"/>
        <v>0</v>
      </c>
      <c r="AA71" s="44">
        <f t="shared" si="107"/>
        <v>0</v>
      </c>
      <c r="AB71" s="44"/>
      <c r="AC71" s="44"/>
      <c r="AD71" s="44"/>
      <c r="AE71" s="76"/>
      <c r="AF71" s="44"/>
      <c r="AG71" s="44">
        <f>VLOOKUP(B:B,[2]Sheet2!$B:$E,4,0)</f>
        <v>6</v>
      </c>
      <c r="AH71" s="44">
        <f t="shared" si="108"/>
        <v>60.1805416248746</v>
      </c>
      <c r="AI71" s="44"/>
      <c r="AJ71" s="115">
        <f>VLOOKUP(B:B,'[1]扶贫资金项目情况调度统计表 (2)'!$B:$I,8,0)</f>
        <v>0.898872196010264</v>
      </c>
      <c r="AK71" s="44">
        <f t="shared" si="109"/>
        <v>275.773819503007</v>
      </c>
      <c r="AL71" s="76">
        <v>98.69</v>
      </c>
      <c r="AM71" s="44">
        <f t="shared" si="110"/>
        <v>274.775004481619</v>
      </c>
      <c r="AN71" s="67">
        <f t="shared" si="111"/>
        <v>843</v>
      </c>
      <c r="AO71" s="44" t="e">
        <f>#REF!*1254933/1408452</f>
        <v>#REF!</v>
      </c>
      <c r="AP71" s="44" t="e">
        <f t="shared" si="12"/>
        <v>#REF!</v>
      </c>
      <c r="AQ71" s="126" t="e">
        <f t="shared" si="13"/>
        <v>#REF!</v>
      </c>
      <c r="AR71" s="44">
        <v>110</v>
      </c>
      <c r="AS71" s="44">
        <v>0</v>
      </c>
      <c r="AT71" s="44">
        <v>0</v>
      </c>
      <c r="AU71" s="127">
        <f t="shared" si="98"/>
        <v>953</v>
      </c>
    </row>
    <row r="72" ht="17" customHeight="1" spans="1:47">
      <c r="A72" s="31">
        <v>42</v>
      </c>
      <c r="B72" s="51" t="s">
        <v>119</v>
      </c>
      <c r="C72" s="31" t="s">
        <v>78</v>
      </c>
      <c r="D72" s="31"/>
      <c r="E72" s="31"/>
      <c r="F72" s="31"/>
      <c r="G72" s="44">
        <v>1539</v>
      </c>
      <c r="H72" s="44"/>
      <c r="I72" s="44"/>
      <c r="J72" s="75">
        <v>10233</v>
      </c>
      <c r="K72" s="76">
        <f t="shared" si="92"/>
        <v>2046.6</v>
      </c>
      <c r="L72" s="76">
        <f t="shared" si="93"/>
        <v>2046.6</v>
      </c>
      <c r="M72" s="76">
        <f t="shared" si="94"/>
        <v>0</v>
      </c>
      <c r="N72" s="76">
        <f t="shared" si="95"/>
        <v>0</v>
      </c>
      <c r="O72" s="76">
        <f t="shared" si="96"/>
        <v>0</v>
      </c>
      <c r="P72" s="76">
        <f t="shared" si="97"/>
        <v>0</v>
      </c>
      <c r="Q72" s="44">
        <v>1921</v>
      </c>
      <c r="R72" s="76">
        <v>1042</v>
      </c>
      <c r="S72" s="76">
        <f t="shared" si="103"/>
        <v>625.2</v>
      </c>
      <c r="T72" s="76"/>
      <c r="U72" s="76">
        <f t="shared" si="112"/>
        <v>625.2</v>
      </c>
      <c r="V72" s="76"/>
      <c r="W72" s="76"/>
      <c r="X72" s="44">
        <f t="shared" si="105"/>
        <v>294.330546845502</v>
      </c>
      <c r="Y72" s="76">
        <v>15858</v>
      </c>
      <c r="Z72" s="103">
        <f t="shared" si="106"/>
        <v>0</v>
      </c>
      <c r="AA72" s="44">
        <f t="shared" si="107"/>
        <v>0</v>
      </c>
      <c r="AB72" s="44"/>
      <c r="AC72" s="44"/>
      <c r="AD72" s="44"/>
      <c r="AE72" s="76"/>
      <c r="AF72" s="44"/>
      <c r="AG72" s="44">
        <f>VLOOKUP(B:B,[2]Sheet2!$B:$E,4,0)</f>
        <v>7</v>
      </c>
      <c r="AH72" s="44">
        <f t="shared" si="108"/>
        <v>70.2106318956871</v>
      </c>
      <c r="AI72" s="44"/>
      <c r="AJ72" s="115">
        <f>VLOOKUP(B:B,'[1]扶贫资金项目情况调度统计表 (2)'!$B:$I,8,0)</f>
        <v>0.902652703310895</v>
      </c>
      <c r="AK72" s="44">
        <f t="shared" si="109"/>
        <v>276.933678426869</v>
      </c>
      <c r="AL72" s="76">
        <v>95.16</v>
      </c>
      <c r="AM72" s="44">
        <f t="shared" si="110"/>
        <v>264.946695982073</v>
      </c>
      <c r="AN72" s="67">
        <f t="shared" si="111"/>
        <v>906</v>
      </c>
      <c r="AO72" s="44" t="e">
        <f>#REF!*1254933/1408452</f>
        <v>#REF!</v>
      </c>
      <c r="AP72" s="44" t="e">
        <f t="shared" si="12"/>
        <v>#REF!</v>
      </c>
      <c r="AQ72" s="126" t="e">
        <f t="shared" si="13"/>
        <v>#REF!</v>
      </c>
      <c r="AR72" s="44">
        <v>416</v>
      </c>
      <c r="AS72" s="44">
        <v>0</v>
      </c>
      <c r="AT72" s="44">
        <v>0</v>
      </c>
      <c r="AU72" s="127">
        <f t="shared" si="98"/>
        <v>1322</v>
      </c>
    </row>
    <row r="73" ht="17" customHeight="1" spans="1:47">
      <c r="A73" s="31">
        <v>43</v>
      </c>
      <c r="B73" s="51" t="s">
        <v>120</v>
      </c>
      <c r="C73" s="31" t="s">
        <v>78</v>
      </c>
      <c r="D73" s="31"/>
      <c r="E73" s="31"/>
      <c r="F73" s="31"/>
      <c r="G73" s="44">
        <v>1785</v>
      </c>
      <c r="H73" s="44"/>
      <c r="I73" s="44"/>
      <c r="J73" s="75">
        <v>22425</v>
      </c>
      <c r="K73" s="76">
        <f t="shared" si="92"/>
        <v>4485</v>
      </c>
      <c r="L73" s="76">
        <f t="shared" si="93"/>
        <v>4485</v>
      </c>
      <c r="M73" s="76">
        <f t="shared" si="94"/>
        <v>0</v>
      </c>
      <c r="N73" s="76">
        <f t="shared" si="95"/>
        <v>0</v>
      </c>
      <c r="O73" s="76">
        <f t="shared" si="96"/>
        <v>0</v>
      </c>
      <c r="P73" s="76">
        <f t="shared" si="97"/>
        <v>0</v>
      </c>
      <c r="Q73" s="44">
        <v>3021</v>
      </c>
      <c r="R73" s="76">
        <v>1834</v>
      </c>
      <c r="S73" s="76">
        <f t="shared" si="103"/>
        <v>1100.4</v>
      </c>
      <c r="T73" s="76"/>
      <c r="U73" s="76">
        <f t="shared" si="112"/>
        <v>1100.4</v>
      </c>
      <c r="V73" s="76"/>
      <c r="W73" s="76"/>
      <c r="X73" s="44">
        <f t="shared" si="105"/>
        <v>537.276344195969</v>
      </c>
      <c r="Y73" s="76">
        <v>15128</v>
      </c>
      <c r="Z73" s="103">
        <f t="shared" si="106"/>
        <v>0</v>
      </c>
      <c r="AA73" s="44">
        <f t="shared" si="107"/>
        <v>0</v>
      </c>
      <c r="AB73" s="44"/>
      <c r="AC73" s="44"/>
      <c r="AD73" s="44"/>
      <c r="AE73" s="76"/>
      <c r="AF73" s="44"/>
      <c r="AG73" s="44">
        <f>VLOOKUP(B:B,[2]Sheet2!$B:$E,4,0)</f>
        <v>7</v>
      </c>
      <c r="AH73" s="44">
        <f t="shared" si="108"/>
        <v>70.2106318956871</v>
      </c>
      <c r="AI73" s="44"/>
      <c r="AJ73" s="115">
        <f>VLOOKUP(B:B,'[1]扶贫资金项目情况调度统计表 (2)'!$B:$I,8,0)</f>
        <v>0.894484722941481</v>
      </c>
      <c r="AK73" s="44">
        <f t="shared" si="109"/>
        <v>274.427743596426</v>
      </c>
      <c r="AL73" s="76">
        <v>88.49</v>
      </c>
      <c r="AM73" s="44">
        <f t="shared" si="110"/>
        <v>246.375926097664</v>
      </c>
      <c r="AN73" s="67">
        <f t="shared" si="111"/>
        <v>1128</v>
      </c>
      <c r="AO73" s="44" t="e">
        <f>#REF!*1254933/1408452</f>
        <v>#REF!</v>
      </c>
      <c r="AP73" s="44" t="e">
        <f t="shared" si="12"/>
        <v>#REF!</v>
      </c>
      <c r="AQ73" s="126" t="e">
        <f t="shared" si="13"/>
        <v>#REF!</v>
      </c>
      <c r="AR73" s="44">
        <v>534</v>
      </c>
      <c r="AS73" s="44">
        <v>0</v>
      </c>
      <c r="AT73" s="44">
        <v>0</v>
      </c>
      <c r="AU73" s="127">
        <f t="shared" si="98"/>
        <v>1662</v>
      </c>
    </row>
    <row r="74" s="6" customFormat="1" ht="17" customHeight="1" spans="1:85">
      <c r="A74" s="39"/>
      <c r="B74" s="40" t="s">
        <v>121</v>
      </c>
      <c r="C74" s="41">
        <v>1</v>
      </c>
      <c r="D74" s="41"/>
      <c r="E74" s="41"/>
      <c r="F74" s="41"/>
      <c r="G74" s="43">
        <v>159268</v>
      </c>
      <c r="H74" s="43">
        <f>H75+H76</f>
        <v>0</v>
      </c>
      <c r="I74" s="43">
        <f>I75+I76</f>
        <v>0</v>
      </c>
      <c r="J74" s="54">
        <f t="shared" ref="J74:X74" si="113">J75+J76</f>
        <v>819007</v>
      </c>
      <c r="K74" s="77">
        <f t="shared" si="113"/>
        <v>527926.2</v>
      </c>
      <c r="L74" s="77">
        <f t="shared" si="113"/>
        <v>39463.2</v>
      </c>
      <c r="M74" s="77">
        <f t="shared" si="113"/>
        <v>13266.4</v>
      </c>
      <c r="N74" s="77">
        <f t="shared" si="113"/>
        <v>29035.2</v>
      </c>
      <c r="O74" s="77">
        <f t="shared" si="113"/>
        <v>375886.4</v>
      </c>
      <c r="P74" s="77">
        <f t="shared" si="113"/>
        <v>70275</v>
      </c>
      <c r="Q74" s="43">
        <v>72742</v>
      </c>
      <c r="R74" s="77">
        <f t="shared" si="113"/>
        <v>75806</v>
      </c>
      <c r="S74" s="77">
        <f t="shared" si="113"/>
        <v>68978.2</v>
      </c>
      <c r="T74" s="77">
        <f t="shared" si="113"/>
        <v>0</v>
      </c>
      <c r="U74" s="77">
        <f t="shared" si="113"/>
        <v>9109.2</v>
      </c>
      <c r="V74" s="77">
        <f t="shared" si="113"/>
        <v>3020</v>
      </c>
      <c r="W74" s="77">
        <f t="shared" si="113"/>
        <v>56849</v>
      </c>
      <c r="X74" s="43">
        <f t="shared" si="113"/>
        <v>37852.5234744491</v>
      </c>
      <c r="Y74" s="77"/>
      <c r="Z74" s="104">
        <f t="shared" ref="Z74:AD74" si="114">Z75+Z76</f>
        <v>2.36102175969725</v>
      </c>
      <c r="AA74" s="43">
        <f t="shared" si="114"/>
        <v>32817.8853065074</v>
      </c>
      <c r="AB74" s="43">
        <v>49</v>
      </c>
      <c r="AC74" s="43">
        <f t="shared" si="114"/>
        <v>16441.6355614973</v>
      </c>
      <c r="AD74" s="43">
        <f t="shared" si="114"/>
        <v>7200</v>
      </c>
      <c r="AE74" s="54">
        <f t="shared" ref="AE74:AI74" si="115">AE75+AE76</f>
        <v>418051.4</v>
      </c>
      <c r="AF74" s="43">
        <f t="shared" si="115"/>
        <v>43546.6444337345</v>
      </c>
      <c r="AG74" s="43">
        <f t="shared" si="115"/>
        <v>104</v>
      </c>
      <c r="AH74" s="43">
        <f t="shared" si="115"/>
        <v>1043.12938816449</v>
      </c>
      <c r="AI74" s="43">
        <f t="shared" si="115"/>
        <v>0</v>
      </c>
      <c r="AJ74" s="118"/>
      <c r="AK74" s="43">
        <f t="shared" ref="AK74:AO74" si="116">AK75+AK76</f>
        <v>3238.24887925644</v>
      </c>
      <c r="AL74" s="54">
        <f t="shared" si="116"/>
        <v>1183.02</v>
      </c>
      <c r="AM74" s="43">
        <f t="shared" si="116"/>
        <v>3293.79193233199</v>
      </c>
      <c r="AN74" s="119">
        <f t="shared" si="116"/>
        <v>145434</v>
      </c>
      <c r="AO74" s="43" t="e">
        <f t="shared" si="116"/>
        <v>#REF!</v>
      </c>
      <c r="AP74" s="86" t="e">
        <f t="shared" si="12"/>
        <v>#REF!</v>
      </c>
      <c r="AQ74" s="125" t="e">
        <f t="shared" si="13"/>
        <v>#REF!</v>
      </c>
      <c r="AR74" s="43">
        <v>2477</v>
      </c>
      <c r="AS74" s="43">
        <v>252</v>
      </c>
      <c r="AT74" s="43">
        <v>387</v>
      </c>
      <c r="AU74" s="43">
        <f>AU75+AU76</f>
        <v>148550</v>
      </c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</row>
    <row r="75" ht="17" customHeight="1" spans="1:47">
      <c r="A75" s="29"/>
      <c r="B75" s="30" t="s">
        <v>122</v>
      </c>
      <c r="C75" s="31">
        <v>2</v>
      </c>
      <c r="D75" s="31"/>
      <c r="E75" s="31"/>
      <c r="F75" s="31"/>
      <c r="G75" s="44">
        <v>3442</v>
      </c>
      <c r="H75" s="44"/>
      <c r="I75" s="44"/>
      <c r="J75" s="75"/>
      <c r="K75" s="76">
        <f t="shared" ref="K75:K89" si="117">SUM(L75:P75)</f>
        <v>0</v>
      </c>
      <c r="L75" s="76">
        <f t="shared" ref="L75:L89" si="118">IF(D75="",J75*0.2,0)</f>
        <v>0</v>
      </c>
      <c r="M75" s="76">
        <f t="shared" ref="M75:M89" si="119">IF(D75=2017,J75*0.4,0)</f>
        <v>0</v>
      </c>
      <c r="N75" s="76">
        <f t="shared" ref="N75:N89" si="120">IF(D75=2018,J75*0.6,0)</f>
        <v>0</v>
      </c>
      <c r="O75" s="76">
        <f t="shared" ref="O75:O89" si="121">IF(D75=2019,J75*0.8,0)</f>
        <v>0</v>
      </c>
      <c r="P75" s="76">
        <f t="shared" ref="P75:P89" si="122">IF(D75=2020,J75*1,0)</f>
        <v>0</v>
      </c>
      <c r="Q75" s="44"/>
      <c r="R75" s="76"/>
      <c r="S75" s="76">
        <f>O75*0.4+P75*0.6+Q75*0.8+R75*1</f>
        <v>0</v>
      </c>
      <c r="T75" s="76">
        <f>R75-U75-V75-W75</f>
        <v>0</v>
      </c>
      <c r="U75" s="76"/>
      <c r="V75" s="76"/>
      <c r="W75" s="76"/>
      <c r="X75" s="44"/>
      <c r="Y75" s="76"/>
      <c r="Z75" s="103"/>
      <c r="AA75" s="44"/>
      <c r="AB75" s="44"/>
      <c r="AC75" s="44"/>
      <c r="AD75" s="44"/>
      <c r="AE75" s="76"/>
      <c r="AF75" s="44"/>
      <c r="AG75" s="44"/>
      <c r="AH75" s="44"/>
      <c r="AI75" s="44"/>
      <c r="AJ75" s="115"/>
      <c r="AK75" s="44"/>
      <c r="AL75" s="76"/>
      <c r="AM75" s="44"/>
      <c r="AN75" s="44"/>
      <c r="AO75" s="44"/>
      <c r="AP75" s="86">
        <f t="shared" si="12"/>
        <v>0</v>
      </c>
      <c r="AQ75" s="125"/>
      <c r="AR75" s="44"/>
      <c r="AS75" s="44"/>
      <c r="AT75" s="44">
        <v>98</v>
      </c>
      <c r="AU75" s="127">
        <f t="shared" ref="AU75:AU89" si="123">AT75+AS75+AR75+AN75</f>
        <v>98</v>
      </c>
    </row>
    <row r="76" s="7" customFormat="1" ht="17" customHeight="1" spans="1:85">
      <c r="A76" s="45"/>
      <c r="B76" s="46" t="s">
        <v>76</v>
      </c>
      <c r="C76" s="47">
        <v>3</v>
      </c>
      <c r="D76" s="47"/>
      <c r="E76" s="47"/>
      <c r="F76" s="47"/>
      <c r="G76" s="49">
        <v>155826</v>
      </c>
      <c r="H76" s="49">
        <f>SUM(H77:H89)</f>
        <v>0</v>
      </c>
      <c r="I76" s="49">
        <f>SUM(I77:I89)</f>
        <v>0</v>
      </c>
      <c r="J76" s="55">
        <f t="shared" ref="J76:X76" si="124">SUM(J77:J89)</f>
        <v>819007</v>
      </c>
      <c r="K76" s="78">
        <f t="shared" si="124"/>
        <v>527926.2</v>
      </c>
      <c r="L76" s="78">
        <f t="shared" si="124"/>
        <v>39463.2</v>
      </c>
      <c r="M76" s="78">
        <f t="shared" si="124"/>
        <v>13266.4</v>
      </c>
      <c r="N76" s="78">
        <f t="shared" si="124"/>
        <v>29035.2</v>
      </c>
      <c r="O76" s="78">
        <f t="shared" si="124"/>
        <v>375886.4</v>
      </c>
      <c r="P76" s="78">
        <f t="shared" si="124"/>
        <v>70275</v>
      </c>
      <c r="Q76" s="49">
        <v>72742</v>
      </c>
      <c r="R76" s="78">
        <f t="shared" si="124"/>
        <v>75806</v>
      </c>
      <c r="S76" s="78">
        <f t="shared" si="124"/>
        <v>68978.2</v>
      </c>
      <c r="T76" s="78">
        <f t="shared" si="124"/>
        <v>0</v>
      </c>
      <c r="U76" s="78">
        <f t="shared" si="124"/>
        <v>9109.2</v>
      </c>
      <c r="V76" s="78">
        <f t="shared" si="124"/>
        <v>3020</v>
      </c>
      <c r="W76" s="78">
        <f t="shared" si="124"/>
        <v>56849</v>
      </c>
      <c r="X76" s="49">
        <f t="shared" si="124"/>
        <v>37852.5234744491</v>
      </c>
      <c r="Y76" s="78"/>
      <c r="Z76" s="105">
        <f t="shared" ref="Z76:AD76" si="125">SUM(Z77:Z89)</f>
        <v>2.36102175969725</v>
      </c>
      <c r="AA76" s="49">
        <f t="shared" si="125"/>
        <v>32817.8853065074</v>
      </c>
      <c r="AB76" s="49">
        <v>49</v>
      </c>
      <c r="AC76" s="49">
        <f t="shared" si="125"/>
        <v>16441.6355614973</v>
      </c>
      <c r="AD76" s="49">
        <f t="shared" si="125"/>
        <v>7200</v>
      </c>
      <c r="AE76" s="55">
        <f t="shared" ref="AE76:AI76" si="126">SUM(AE77:AE89)</f>
        <v>418051.4</v>
      </c>
      <c r="AF76" s="49">
        <f t="shared" si="126"/>
        <v>43546.6444337345</v>
      </c>
      <c r="AG76" s="49">
        <f t="shared" si="126"/>
        <v>104</v>
      </c>
      <c r="AH76" s="49">
        <f t="shared" si="126"/>
        <v>1043.12938816449</v>
      </c>
      <c r="AI76" s="49">
        <f t="shared" si="126"/>
        <v>0</v>
      </c>
      <c r="AJ76" s="120"/>
      <c r="AK76" s="49">
        <f t="shared" ref="AK76:AO76" si="127">SUM(AK77:AK89)</f>
        <v>3238.24887925644</v>
      </c>
      <c r="AL76" s="55">
        <f t="shared" si="127"/>
        <v>1183.02</v>
      </c>
      <c r="AM76" s="49">
        <f t="shared" si="127"/>
        <v>3293.79193233199</v>
      </c>
      <c r="AN76" s="121">
        <f t="shared" si="127"/>
        <v>145434</v>
      </c>
      <c r="AO76" s="49" t="e">
        <f t="shared" si="127"/>
        <v>#REF!</v>
      </c>
      <c r="AP76" s="86" t="e">
        <f t="shared" si="12"/>
        <v>#REF!</v>
      </c>
      <c r="AQ76" s="125" t="e">
        <f t="shared" si="13"/>
        <v>#REF!</v>
      </c>
      <c r="AR76" s="49">
        <v>2477</v>
      </c>
      <c r="AS76" s="49">
        <v>252</v>
      </c>
      <c r="AT76" s="49">
        <v>289</v>
      </c>
      <c r="AU76" s="49">
        <f>SUM(AU77:AU89)</f>
        <v>148452</v>
      </c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</row>
    <row r="77" ht="17" customHeight="1" spans="1:47">
      <c r="A77" s="31">
        <v>44</v>
      </c>
      <c r="B77" s="51" t="s">
        <v>123</v>
      </c>
      <c r="C77" s="31" t="s">
        <v>78</v>
      </c>
      <c r="D77" s="31"/>
      <c r="E77" s="31"/>
      <c r="F77" s="31"/>
      <c r="G77" s="44">
        <v>3461</v>
      </c>
      <c r="H77" s="44"/>
      <c r="I77" s="44"/>
      <c r="J77" s="75">
        <v>11957</v>
      </c>
      <c r="K77" s="76">
        <f t="shared" si="117"/>
        <v>2391.4</v>
      </c>
      <c r="L77" s="76">
        <f t="shared" si="118"/>
        <v>2391.4</v>
      </c>
      <c r="M77" s="76">
        <f t="shared" si="119"/>
        <v>0</v>
      </c>
      <c r="N77" s="76">
        <f t="shared" si="120"/>
        <v>0</v>
      </c>
      <c r="O77" s="76">
        <f t="shared" si="121"/>
        <v>0</v>
      </c>
      <c r="P77" s="76">
        <f t="shared" si="122"/>
        <v>0</v>
      </c>
      <c r="Q77" s="44">
        <v>1374</v>
      </c>
      <c r="R77" s="76">
        <v>2096</v>
      </c>
      <c r="S77" s="76">
        <f t="shared" ref="S77:S89" si="128">T77+U77+V77+W77</f>
        <v>1257.6</v>
      </c>
      <c r="T77" s="76"/>
      <c r="U77" s="76">
        <f t="shared" ref="U77:U83" si="129">R77*0.6</f>
        <v>1257.6</v>
      </c>
      <c r="V77" s="76"/>
      <c r="W77" s="76"/>
      <c r="X77" s="44">
        <f t="shared" ref="X77:X89" si="130">(K77/$K$10*0.2+Q77/$Q$10*0.05+S77/$S$10*0.05)*1254933</f>
        <v>313.86479578258</v>
      </c>
      <c r="Y77" s="76">
        <v>18382</v>
      </c>
      <c r="Z77" s="103">
        <f t="shared" ref="Z77:Z89" si="131">IF(Y77&lt;12842,(12842-Y77)/(12842-$Y$176),0)</f>
        <v>0</v>
      </c>
      <c r="AA77" s="44">
        <f t="shared" ref="AA77:AA89" si="132">(Z77/$Z$10*0.2)*1254933</f>
        <v>0</v>
      </c>
      <c r="AB77" s="44"/>
      <c r="AC77" s="44"/>
      <c r="AD77" s="44"/>
      <c r="AE77" s="76"/>
      <c r="AF77" s="44"/>
      <c r="AG77" s="44">
        <f>VLOOKUP(B:B,[2]Sheet2!$B:$E,4,0)</f>
        <v>5</v>
      </c>
      <c r="AH77" s="44">
        <f t="shared" ref="AH77:AH89" si="133">AG77/$AG$10*10000</f>
        <v>50.1504513540622</v>
      </c>
      <c r="AI77" s="44"/>
      <c r="AJ77" s="115">
        <f>VLOOKUP(B:B,'[1]扶贫资金项目情况调度统计表 (2)'!$B:$I,8,0)</f>
        <v>0.824040330603811</v>
      </c>
      <c r="AK77" s="44">
        <f t="shared" ref="AK77:AK89" si="134">AJ77/$AJ$10*0.025*1254933</f>
        <v>252.815417368343</v>
      </c>
      <c r="AL77" s="76">
        <v>92.19</v>
      </c>
      <c r="AM77" s="44">
        <f t="shared" ref="AM77:AM89" si="135">(AL77/$AL$10)*0.025*1254933</f>
        <v>256.677552570275</v>
      </c>
      <c r="AN77" s="67">
        <f t="shared" ref="AN77:AN89" si="136">ROUND(AM77+AK77+AI77+AF77+AH77+AD77+AC77+AA77+X77,0)</f>
        <v>874</v>
      </c>
      <c r="AO77" s="44" t="e">
        <f>#REF!*1254933/1408452</f>
        <v>#REF!</v>
      </c>
      <c r="AP77" s="44" t="e">
        <f t="shared" si="12"/>
        <v>#REF!</v>
      </c>
      <c r="AQ77" s="126" t="e">
        <f t="shared" si="13"/>
        <v>#REF!</v>
      </c>
      <c r="AR77" s="44">
        <v>0</v>
      </c>
      <c r="AS77" s="44">
        <v>0</v>
      </c>
      <c r="AT77" s="44">
        <v>103</v>
      </c>
      <c r="AU77" s="127">
        <f t="shared" si="123"/>
        <v>977</v>
      </c>
    </row>
    <row r="78" ht="17" customHeight="1" spans="1:47">
      <c r="A78" s="31">
        <v>45</v>
      </c>
      <c r="B78" s="51" t="s">
        <v>124</v>
      </c>
      <c r="C78" s="31" t="s">
        <v>78</v>
      </c>
      <c r="D78" s="31"/>
      <c r="E78" s="31"/>
      <c r="F78" s="31"/>
      <c r="G78" s="44">
        <v>4211</v>
      </c>
      <c r="H78" s="44"/>
      <c r="I78" s="44"/>
      <c r="J78" s="75">
        <v>22408</v>
      </c>
      <c r="K78" s="76">
        <f t="shared" si="117"/>
        <v>4481.6</v>
      </c>
      <c r="L78" s="76">
        <f t="shared" si="118"/>
        <v>4481.6</v>
      </c>
      <c r="M78" s="76">
        <f t="shared" si="119"/>
        <v>0</v>
      </c>
      <c r="N78" s="76">
        <f t="shared" si="120"/>
        <v>0</v>
      </c>
      <c r="O78" s="76">
        <f t="shared" si="121"/>
        <v>0</v>
      </c>
      <c r="P78" s="76">
        <f t="shared" si="122"/>
        <v>0</v>
      </c>
      <c r="Q78" s="44">
        <v>1314</v>
      </c>
      <c r="R78" s="76">
        <v>1046</v>
      </c>
      <c r="S78" s="76">
        <f t="shared" si="128"/>
        <v>627.6</v>
      </c>
      <c r="T78" s="76"/>
      <c r="U78" s="76">
        <f t="shared" si="129"/>
        <v>627.6</v>
      </c>
      <c r="V78" s="76"/>
      <c r="W78" s="76"/>
      <c r="X78" s="44">
        <f t="shared" si="130"/>
        <v>376.633729384558</v>
      </c>
      <c r="Y78" s="76">
        <v>18229</v>
      </c>
      <c r="Z78" s="103">
        <f t="shared" si="131"/>
        <v>0</v>
      </c>
      <c r="AA78" s="44">
        <f t="shared" si="132"/>
        <v>0</v>
      </c>
      <c r="AB78" s="44"/>
      <c r="AC78" s="44"/>
      <c r="AD78" s="44"/>
      <c r="AE78" s="76"/>
      <c r="AF78" s="44"/>
      <c r="AG78" s="44">
        <f>VLOOKUP(B:B,[2]Sheet2!$B:$E,4,0)</f>
        <v>7</v>
      </c>
      <c r="AH78" s="44">
        <f t="shared" si="133"/>
        <v>70.2106318956871</v>
      </c>
      <c r="AI78" s="44"/>
      <c r="AJ78" s="115">
        <f>VLOOKUP(B:B,'[1]扶贫资金项目情况调度统计表 (2)'!$B:$I,8,0)</f>
        <v>0.877080150484045</v>
      </c>
      <c r="AK78" s="44">
        <f t="shared" si="134"/>
        <v>269.08802406265</v>
      </c>
      <c r="AL78" s="76">
        <v>91.06</v>
      </c>
      <c r="AM78" s="44">
        <f t="shared" si="135"/>
        <v>253.531380161072</v>
      </c>
      <c r="AN78" s="67">
        <f t="shared" si="136"/>
        <v>969</v>
      </c>
      <c r="AO78" s="44" t="e">
        <f>#REF!*1254933/1408452</f>
        <v>#REF!</v>
      </c>
      <c r="AP78" s="44" t="e">
        <f t="shared" ref="AP78:AP141" si="137">AN78-AO78</f>
        <v>#REF!</v>
      </c>
      <c r="AQ78" s="126" t="e">
        <f t="shared" ref="AQ78:AQ141" si="138">AP78/AO78</f>
        <v>#REF!</v>
      </c>
      <c r="AR78" s="44">
        <v>0</v>
      </c>
      <c r="AS78" s="44">
        <v>0</v>
      </c>
      <c r="AT78" s="44">
        <v>0</v>
      </c>
      <c r="AU78" s="127">
        <f t="shared" si="123"/>
        <v>969</v>
      </c>
    </row>
    <row r="79" ht="17" customHeight="1" spans="1:47">
      <c r="A79" s="31">
        <v>46</v>
      </c>
      <c r="B79" s="51" t="s">
        <v>125</v>
      </c>
      <c r="C79" s="31" t="s">
        <v>78</v>
      </c>
      <c r="D79" s="31"/>
      <c r="E79" s="31"/>
      <c r="F79" s="31"/>
      <c r="G79" s="44">
        <v>7378</v>
      </c>
      <c r="H79" s="44"/>
      <c r="I79" s="44"/>
      <c r="J79" s="75">
        <v>58704</v>
      </c>
      <c r="K79" s="76">
        <f t="shared" si="117"/>
        <v>11740.8</v>
      </c>
      <c r="L79" s="76">
        <f t="shared" si="118"/>
        <v>11740.8</v>
      </c>
      <c r="M79" s="76">
        <f t="shared" si="119"/>
        <v>0</v>
      </c>
      <c r="N79" s="76">
        <f t="shared" si="120"/>
        <v>0</v>
      </c>
      <c r="O79" s="76">
        <f t="shared" si="121"/>
        <v>0</v>
      </c>
      <c r="P79" s="76">
        <f t="shared" si="122"/>
        <v>0</v>
      </c>
      <c r="Q79" s="44">
        <v>3062</v>
      </c>
      <c r="R79" s="76">
        <v>2836</v>
      </c>
      <c r="S79" s="76">
        <f t="shared" si="128"/>
        <v>1701.6</v>
      </c>
      <c r="T79" s="76"/>
      <c r="U79" s="76">
        <f t="shared" si="129"/>
        <v>1701.6</v>
      </c>
      <c r="V79" s="76"/>
      <c r="W79" s="76"/>
      <c r="X79" s="44">
        <f t="shared" si="130"/>
        <v>961.913483825387</v>
      </c>
      <c r="Y79" s="76">
        <v>16559</v>
      </c>
      <c r="Z79" s="103">
        <f t="shared" si="131"/>
        <v>0</v>
      </c>
      <c r="AA79" s="44">
        <f t="shared" si="132"/>
        <v>0</v>
      </c>
      <c r="AB79" s="44"/>
      <c r="AC79" s="44"/>
      <c r="AD79" s="44"/>
      <c r="AE79" s="76"/>
      <c r="AF79" s="44"/>
      <c r="AG79" s="44">
        <f>VLOOKUP(B:B,[2]Sheet2!$B:$E,4,0)</f>
        <v>6</v>
      </c>
      <c r="AH79" s="44">
        <f t="shared" si="133"/>
        <v>60.1805416248746</v>
      </c>
      <c r="AI79" s="44"/>
      <c r="AJ79" s="115">
        <f>VLOOKUP(B:B,'[1]扶贫资金项目情况调度统计表 (2)'!$B:$I,8,0)</f>
        <v>0.994486305341033</v>
      </c>
      <c r="AK79" s="44">
        <f t="shared" si="134"/>
        <v>305.108210137806</v>
      </c>
      <c r="AL79" s="76">
        <v>90</v>
      </c>
      <c r="AM79" s="44">
        <f t="shared" si="135"/>
        <v>250.580103387838</v>
      </c>
      <c r="AN79" s="67">
        <f t="shared" si="136"/>
        <v>1578</v>
      </c>
      <c r="AO79" s="44" t="e">
        <f>#REF!*1254933/1408452</f>
        <v>#REF!</v>
      </c>
      <c r="AP79" s="44" t="e">
        <f t="shared" si="137"/>
        <v>#REF!</v>
      </c>
      <c r="AQ79" s="126" t="e">
        <f t="shared" si="138"/>
        <v>#REF!</v>
      </c>
      <c r="AR79" s="44">
        <v>0</v>
      </c>
      <c r="AS79" s="44">
        <v>0</v>
      </c>
      <c r="AT79" s="44">
        <v>0</v>
      </c>
      <c r="AU79" s="127">
        <f t="shared" si="123"/>
        <v>1578</v>
      </c>
    </row>
    <row r="80" ht="17" customHeight="1" spans="1:47">
      <c r="A80" s="31">
        <v>47</v>
      </c>
      <c r="B80" s="51" t="s">
        <v>127</v>
      </c>
      <c r="C80" s="31" t="s">
        <v>78</v>
      </c>
      <c r="D80" s="31"/>
      <c r="E80" s="31"/>
      <c r="F80" s="31"/>
      <c r="G80" s="44">
        <v>6083</v>
      </c>
      <c r="H80" s="44"/>
      <c r="I80" s="44"/>
      <c r="J80" s="75">
        <v>48521</v>
      </c>
      <c r="K80" s="76">
        <f t="shared" si="117"/>
        <v>9704.2</v>
      </c>
      <c r="L80" s="76">
        <f t="shared" si="118"/>
        <v>9704.2</v>
      </c>
      <c r="M80" s="76">
        <f t="shared" si="119"/>
        <v>0</v>
      </c>
      <c r="N80" s="76">
        <f t="shared" si="120"/>
        <v>0</v>
      </c>
      <c r="O80" s="76">
        <f t="shared" si="121"/>
        <v>0</v>
      </c>
      <c r="P80" s="76">
        <f t="shared" si="122"/>
        <v>0</v>
      </c>
      <c r="Q80" s="44">
        <v>3699</v>
      </c>
      <c r="R80" s="76">
        <v>1464</v>
      </c>
      <c r="S80" s="76">
        <f t="shared" si="128"/>
        <v>878.4</v>
      </c>
      <c r="T80" s="76"/>
      <c r="U80" s="76">
        <f t="shared" si="129"/>
        <v>878.4</v>
      </c>
      <c r="V80" s="76"/>
      <c r="W80" s="76"/>
      <c r="X80" s="44">
        <f t="shared" si="130"/>
        <v>847.455872435325</v>
      </c>
      <c r="Y80" s="76">
        <v>16560</v>
      </c>
      <c r="Z80" s="103">
        <f t="shared" si="131"/>
        <v>0</v>
      </c>
      <c r="AA80" s="44">
        <f t="shared" si="132"/>
        <v>0</v>
      </c>
      <c r="AB80" s="44"/>
      <c r="AC80" s="44"/>
      <c r="AD80" s="44"/>
      <c r="AE80" s="76"/>
      <c r="AF80" s="44"/>
      <c r="AG80" s="44">
        <f>VLOOKUP(B:B,[2]Sheet2!$B:$E,4,0)</f>
        <v>6</v>
      </c>
      <c r="AH80" s="44">
        <f t="shared" si="133"/>
        <v>60.1805416248746</v>
      </c>
      <c r="AI80" s="44"/>
      <c r="AJ80" s="115">
        <f>VLOOKUP(B:B,'[1]扶贫资金项目情况调度统计表 (2)'!$B:$I,8,0)</f>
        <v>0.822608207247843</v>
      </c>
      <c r="AK80" s="44">
        <f t="shared" si="134"/>
        <v>252.376042193955</v>
      </c>
      <c r="AL80" s="76">
        <v>95.69</v>
      </c>
      <c r="AM80" s="44">
        <f t="shared" si="135"/>
        <v>266.422334368691</v>
      </c>
      <c r="AN80" s="67">
        <f t="shared" si="136"/>
        <v>1426</v>
      </c>
      <c r="AO80" s="44" t="e">
        <f>#REF!*1254933/1408452</f>
        <v>#REF!</v>
      </c>
      <c r="AP80" s="44" t="e">
        <f t="shared" si="137"/>
        <v>#REF!</v>
      </c>
      <c r="AQ80" s="126" t="e">
        <f t="shared" si="138"/>
        <v>#REF!</v>
      </c>
      <c r="AR80" s="44">
        <v>0</v>
      </c>
      <c r="AS80" s="44">
        <v>0</v>
      </c>
      <c r="AT80" s="44">
        <v>0</v>
      </c>
      <c r="AU80" s="127">
        <f t="shared" si="123"/>
        <v>1426</v>
      </c>
    </row>
    <row r="81" ht="17" customHeight="1" spans="1:47">
      <c r="A81" s="31">
        <v>48</v>
      </c>
      <c r="B81" s="51" t="s">
        <v>128</v>
      </c>
      <c r="C81" s="31" t="s">
        <v>90</v>
      </c>
      <c r="D81" s="31">
        <v>2017</v>
      </c>
      <c r="E81" s="31"/>
      <c r="F81" s="31"/>
      <c r="G81" s="44">
        <v>5775</v>
      </c>
      <c r="H81" s="44"/>
      <c r="I81" s="44"/>
      <c r="J81" s="75">
        <v>33166</v>
      </c>
      <c r="K81" s="76">
        <f t="shared" si="117"/>
        <v>13266.4</v>
      </c>
      <c r="L81" s="76">
        <f t="shared" si="118"/>
        <v>0</v>
      </c>
      <c r="M81" s="76">
        <f t="shared" si="119"/>
        <v>13266.4</v>
      </c>
      <c r="N81" s="76">
        <f t="shared" si="120"/>
        <v>0</v>
      </c>
      <c r="O81" s="76">
        <f t="shared" si="121"/>
        <v>0</v>
      </c>
      <c r="P81" s="76">
        <f t="shared" si="122"/>
        <v>0</v>
      </c>
      <c r="Q81" s="44">
        <v>2281</v>
      </c>
      <c r="R81" s="76">
        <v>2719</v>
      </c>
      <c r="S81" s="76">
        <f t="shared" si="128"/>
        <v>1631.4</v>
      </c>
      <c r="T81" s="76"/>
      <c r="U81" s="76">
        <f t="shared" si="129"/>
        <v>1631.4</v>
      </c>
      <c r="V81" s="76"/>
      <c r="W81" s="76"/>
      <c r="X81" s="44">
        <f t="shared" si="130"/>
        <v>978.460102095422</v>
      </c>
      <c r="Y81" s="76">
        <v>15137</v>
      </c>
      <c r="Z81" s="103">
        <f t="shared" si="131"/>
        <v>0</v>
      </c>
      <c r="AA81" s="44">
        <f t="shared" si="132"/>
        <v>0</v>
      </c>
      <c r="AB81" s="44"/>
      <c r="AC81" s="44"/>
      <c r="AD81" s="44"/>
      <c r="AE81" s="76"/>
      <c r="AF81" s="44"/>
      <c r="AG81" s="44">
        <f>VLOOKUP(B:B,[2]Sheet2!$B:$E,4,0)</f>
        <v>5</v>
      </c>
      <c r="AH81" s="44">
        <f t="shared" si="133"/>
        <v>50.1504513540622</v>
      </c>
      <c r="AI81" s="44"/>
      <c r="AJ81" s="115">
        <f>VLOOKUP(B:B,'[1]扶贫资金项目情况调度统计表 (2)'!$B:$I,8,0)</f>
        <v>0.702212200008216</v>
      </c>
      <c r="AK81" s="44">
        <f t="shared" si="134"/>
        <v>215.438569974039</v>
      </c>
      <c r="AL81" s="76">
        <v>92.98</v>
      </c>
      <c r="AM81" s="44">
        <f t="shared" si="135"/>
        <v>258.877089033346</v>
      </c>
      <c r="AN81" s="67">
        <f t="shared" si="136"/>
        <v>1503</v>
      </c>
      <c r="AO81" s="44" t="e">
        <f>#REF!*1254933/1408452</f>
        <v>#REF!</v>
      </c>
      <c r="AP81" s="44" t="e">
        <f t="shared" si="137"/>
        <v>#REF!</v>
      </c>
      <c r="AQ81" s="126" t="e">
        <f t="shared" si="138"/>
        <v>#REF!</v>
      </c>
      <c r="AR81" s="44">
        <v>547</v>
      </c>
      <c r="AS81" s="44">
        <v>0</v>
      </c>
      <c r="AT81" s="44">
        <v>0</v>
      </c>
      <c r="AU81" s="127">
        <f t="shared" si="123"/>
        <v>2050</v>
      </c>
    </row>
    <row r="82" ht="17" customHeight="1" spans="1:47">
      <c r="A82" s="31">
        <v>49</v>
      </c>
      <c r="B82" s="51" t="s">
        <v>129</v>
      </c>
      <c r="C82" s="31" t="s">
        <v>78</v>
      </c>
      <c r="D82" s="31"/>
      <c r="E82" s="31"/>
      <c r="F82" s="31"/>
      <c r="G82" s="44">
        <v>6763</v>
      </c>
      <c r="H82" s="44"/>
      <c r="I82" s="44"/>
      <c r="J82" s="75">
        <v>42543</v>
      </c>
      <c r="K82" s="76">
        <f t="shared" si="117"/>
        <v>8508.6</v>
      </c>
      <c r="L82" s="76">
        <f t="shared" si="118"/>
        <v>8508.6</v>
      </c>
      <c r="M82" s="76">
        <f t="shared" si="119"/>
        <v>0</v>
      </c>
      <c r="N82" s="76">
        <f t="shared" si="120"/>
        <v>0</v>
      </c>
      <c r="O82" s="76">
        <f t="shared" si="121"/>
        <v>0</v>
      </c>
      <c r="P82" s="76">
        <f t="shared" si="122"/>
        <v>0</v>
      </c>
      <c r="Q82" s="44">
        <v>5322</v>
      </c>
      <c r="R82" s="76">
        <v>2092</v>
      </c>
      <c r="S82" s="76">
        <f t="shared" si="128"/>
        <v>1255.2</v>
      </c>
      <c r="T82" s="76"/>
      <c r="U82" s="76">
        <f t="shared" si="129"/>
        <v>1255.2</v>
      </c>
      <c r="V82" s="76"/>
      <c r="W82" s="76"/>
      <c r="X82" s="44">
        <f t="shared" si="130"/>
        <v>932.336626490644</v>
      </c>
      <c r="Y82" s="76">
        <v>16061</v>
      </c>
      <c r="Z82" s="103">
        <f t="shared" si="131"/>
        <v>0</v>
      </c>
      <c r="AA82" s="44">
        <f t="shared" si="132"/>
        <v>0</v>
      </c>
      <c r="AB82" s="44"/>
      <c r="AC82" s="44"/>
      <c r="AD82" s="44"/>
      <c r="AE82" s="76"/>
      <c r="AF82" s="44"/>
      <c r="AG82" s="44">
        <f>VLOOKUP(B:B,[2]Sheet2!$B:$E,4,0)</f>
        <v>5</v>
      </c>
      <c r="AH82" s="44">
        <f t="shared" si="133"/>
        <v>50.1504513540622</v>
      </c>
      <c r="AI82" s="44"/>
      <c r="AJ82" s="115">
        <f>VLOOKUP(B:B,'[1]扶贫资金项目情况调度统计表 (2)'!$B:$I,8,0)</f>
        <v>0.887652129817444</v>
      </c>
      <c r="AK82" s="44">
        <f t="shared" si="134"/>
        <v>272.331505319963</v>
      </c>
      <c r="AL82" s="76">
        <v>98.74</v>
      </c>
      <c r="AM82" s="44">
        <f t="shared" si="135"/>
        <v>274.914215650168</v>
      </c>
      <c r="AN82" s="67">
        <f t="shared" si="136"/>
        <v>1530</v>
      </c>
      <c r="AO82" s="44" t="e">
        <f>#REF!*1254933/1408452</f>
        <v>#REF!</v>
      </c>
      <c r="AP82" s="44" t="e">
        <f t="shared" si="137"/>
        <v>#REF!</v>
      </c>
      <c r="AQ82" s="126" t="e">
        <f t="shared" si="138"/>
        <v>#REF!</v>
      </c>
      <c r="AR82" s="44">
        <v>0</v>
      </c>
      <c r="AS82" s="44">
        <v>0</v>
      </c>
      <c r="AT82" s="44">
        <v>0</v>
      </c>
      <c r="AU82" s="127">
        <f t="shared" si="123"/>
        <v>1530</v>
      </c>
    </row>
    <row r="83" ht="17" customHeight="1" spans="1:47">
      <c r="A83" s="31">
        <v>50</v>
      </c>
      <c r="B83" s="51" t="s">
        <v>130</v>
      </c>
      <c r="C83" s="31" t="s">
        <v>90</v>
      </c>
      <c r="D83" s="31">
        <v>2018</v>
      </c>
      <c r="E83" s="31"/>
      <c r="F83" s="31"/>
      <c r="G83" s="44">
        <v>6421</v>
      </c>
      <c r="H83" s="44"/>
      <c r="I83" s="44"/>
      <c r="J83" s="75">
        <v>48392</v>
      </c>
      <c r="K83" s="76">
        <f t="shared" si="117"/>
        <v>29035.2</v>
      </c>
      <c r="L83" s="76">
        <f t="shared" si="118"/>
        <v>0</v>
      </c>
      <c r="M83" s="76">
        <f t="shared" si="119"/>
        <v>0</v>
      </c>
      <c r="N83" s="76">
        <f t="shared" si="120"/>
        <v>29035.2</v>
      </c>
      <c r="O83" s="76">
        <f t="shared" si="121"/>
        <v>0</v>
      </c>
      <c r="P83" s="76">
        <f t="shared" si="122"/>
        <v>0</v>
      </c>
      <c r="Q83" s="44">
        <v>5761</v>
      </c>
      <c r="R83" s="76">
        <v>2929</v>
      </c>
      <c r="S83" s="76">
        <f t="shared" si="128"/>
        <v>1757.4</v>
      </c>
      <c r="T83" s="76"/>
      <c r="U83" s="76">
        <f t="shared" si="129"/>
        <v>1757.4</v>
      </c>
      <c r="V83" s="76"/>
      <c r="W83" s="76"/>
      <c r="X83" s="44">
        <f t="shared" si="130"/>
        <v>2077.16002223846</v>
      </c>
      <c r="Y83" s="76">
        <v>14825</v>
      </c>
      <c r="Z83" s="103">
        <f t="shared" si="131"/>
        <v>0</v>
      </c>
      <c r="AA83" s="44">
        <f t="shared" si="132"/>
        <v>0</v>
      </c>
      <c r="AB83" s="44"/>
      <c r="AC83" s="44"/>
      <c r="AD83" s="44"/>
      <c r="AE83" s="76"/>
      <c r="AF83" s="44"/>
      <c r="AG83" s="44">
        <f>VLOOKUP(B:B,[2]Sheet2!$B:$E,4,0)</f>
        <v>5</v>
      </c>
      <c r="AH83" s="44">
        <f t="shared" si="133"/>
        <v>50.1504513540622</v>
      </c>
      <c r="AI83" s="44"/>
      <c r="AJ83" s="115">
        <f>VLOOKUP(B:B,'[1]扶贫资金项目情况调度统计表 (2)'!$B:$I,8,0)</f>
        <v>0.810801581201274</v>
      </c>
      <c r="AK83" s="44">
        <f t="shared" si="134"/>
        <v>248.753771558865</v>
      </c>
      <c r="AL83" s="76">
        <v>90.17</v>
      </c>
      <c r="AM83" s="44">
        <f t="shared" si="135"/>
        <v>251.053421360903</v>
      </c>
      <c r="AN83" s="67">
        <f t="shared" si="136"/>
        <v>2627</v>
      </c>
      <c r="AO83" s="44" t="e">
        <f>#REF!*1254933/1408452</f>
        <v>#REF!</v>
      </c>
      <c r="AP83" s="44" t="e">
        <f t="shared" si="137"/>
        <v>#REF!</v>
      </c>
      <c r="AQ83" s="126" t="e">
        <f t="shared" si="138"/>
        <v>#REF!</v>
      </c>
      <c r="AR83" s="44">
        <v>0</v>
      </c>
      <c r="AS83" s="44">
        <v>0</v>
      </c>
      <c r="AT83" s="44">
        <v>0</v>
      </c>
      <c r="AU83" s="127">
        <f t="shared" si="123"/>
        <v>2627</v>
      </c>
    </row>
    <row r="84" ht="17" customHeight="1" spans="1:47">
      <c r="A84" s="31">
        <v>51</v>
      </c>
      <c r="B84" s="51" t="s">
        <v>126</v>
      </c>
      <c r="C84" s="31" t="s">
        <v>90</v>
      </c>
      <c r="D84" s="31">
        <v>2020</v>
      </c>
      <c r="E84" s="31" t="s">
        <v>91</v>
      </c>
      <c r="F84" s="31"/>
      <c r="G84" s="44">
        <v>17345</v>
      </c>
      <c r="H84" s="44"/>
      <c r="I84" s="44"/>
      <c r="J84" s="75">
        <v>70275</v>
      </c>
      <c r="K84" s="76">
        <f t="shared" si="117"/>
        <v>70275</v>
      </c>
      <c r="L84" s="76">
        <f t="shared" si="118"/>
        <v>0</v>
      </c>
      <c r="M84" s="76">
        <f t="shared" si="119"/>
        <v>0</v>
      </c>
      <c r="N84" s="76">
        <f t="shared" si="120"/>
        <v>0</v>
      </c>
      <c r="O84" s="76">
        <f t="shared" si="121"/>
        <v>0</v>
      </c>
      <c r="P84" s="76">
        <f t="shared" si="122"/>
        <v>70275</v>
      </c>
      <c r="Q84" s="44">
        <v>3906</v>
      </c>
      <c r="R84" s="76">
        <v>10471</v>
      </c>
      <c r="S84" s="76">
        <f t="shared" si="128"/>
        <v>10471</v>
      </c>
      <c r="T84" s="76"/>
      <c r="U84" s="76"/>
      <c r="V84" s="76"/>
      <c r="W84" s="76">
        <f t="shared" ref="W84:W89" si="139">R84*1</f>
        <v>10471</v>
      </c>
      <c r="X84" s="44">
        <f t="shared" si="130"/>
        <v>4690.45138499652</v>
      </c>
      <c r="Y84" s="76">
        <v>10474</v>
      </c>
      <c r="Z84" s="103">
        <f t="shared" si="131"/>
        <v>0.4480605487228</v>
      </c>
      <c r="AA84" s="44">
        <f t="shared" si="132"/>
        <v>6227.9814397988</v>
      </c>
      <c r="AB84" s="44"/>
      <c r="AC84" s="44"/>
      <c r="AD84" s="44"/>
      <c r="AE84" s="76">
        <f>K84*0.6</f>
        <v>42165</v>
      </c>
      <c r="AF84" s="44">
        <f t="shared" ref="AF84:AF89" si="140">AE84/$AE$10*372626.55</f>
        <v>4392.14953603412</v>
      </c>
      <c r="AG84" s="44">
        <f>VLOOKUP(B:B,[2]Sheet2!$B:$E,4,0)</f>
        <v>5</v>
      </c>
      <c r="AH84" s="44">
        <f t="shared" si="133"/>
        <v>50.1504513540622</v>
      </c>
      <c r="AI84" s="44"/>
      <c r="AJ84" s="115">
        <f>VLOOKUP(B:B,'[1]扶贫资金项目情况调度统计表 (2)'!$B:$I,8,0)</f>
        <v>0.796463286319807</v>
      </c>
      <c r="AK84" s="44">
        <f t="shared" si="134"/>
        <v>244.35478540469</v>
      </c>
      <c r="AL84" s="76">
        <v>82.42</v>
      </c>
      <c r="AM84" s="44">
        <f t="shared" si="135"/>
        <v>229.47569023584</v>
      </c>
      <c r="AN84" s="67">
        <f t="shared" si="136"/>
        <v>15835</v>
      </c>
      <c r="AO84" s="44" t="e">
        <f>#REF!*1254933/1408452</f>
        <v>#REF!</v>
      </c>
      <c r="AP84" s="44" t="e">
        <f t="shared" si="137"/>
        <v>#REF!</v>
      </c>
      <c r="AQ84" s="126" t="e">
        <f t="shared" si="138"/>
        <v>#REF!</v>
      </c>
      <c r="AR84" s="44">
        <v>500</v>
      </c>
      <c r="AS84" s="44">
        <v>0</v>
      </c>
      <c r="AT84" s="44">
        <v>0</v>
      </c>
      <c r="AU84" s="127">
        <f t="shared" si="123"/>
        <v>16335</v>
      </c>
    </row>
    <row r="85" ht="17" customHeight="1" spans="1:47">
      <c r="A85" s="31">
        <v>52</v>
      </c>
      <c r="B85" s="51" t="s">
        <v>135</v>
      </c>
      <c r="C85" s="31" t="s">
        <v>78</v>
      </c>
      <c r="D85" s="31"/>
      <c r="E85" s="31"/>
      <c r="F85" s="31" t="s">
        <v>146</v>
      </c>
      <c r="G85" s="44">
        <v>3928</v>
      </c>
      <c r="H85" s="44"/>
      <c r="I85" s="44"/>
      <c r="J85" s="75">
        <v>13183</v>
      </c>
      <c r="K85" s="76">
        <f t="shared" si="117"/>
        <v>2636.6</v>
      </c>
      <c r="L85" s="76">
        <f t="shared" si="118"/>
        <v>2636.6</v>
      </c>
      <c r="M85" s="76">
        <f t="shared" si="119"/>
        <v>0</v>
      </c>
      <c r="N85" s="76">
        <f t="shared" si="120"/>
        <v>0</v>
      </c>
      <c r="O85" s="76">
        <f t="shared" si="121"/>
        <v>0</v>
      </c>
      <c r="P85" s="76">
        <f t="shared" si="122"/>
        <v>0</v>
      </c>
      <c r="Q85" s="44">
        <v>1561</v>
      </c>
      <c r="R85" s="76">
        <v>3775</v>
      </c>
      <c r="S85" s="76">
        <f t="shared" si="128"/>
        <v>3020</v>
      </c>
      <c r="T85" s="76"/>
      <c r="U85" s="76"/>
      <c r="V85" s="76">
        <f>R85*0.8</f>
        <v>3020</v>
      </c>
      <c r="W85" s="76"/>
      <c r="X85" s="44">
        <f t="shared" si="130"/>
        <v>459.641944198316</v>
      </c>
      <c r="Y85" s="76">
        <v>14973</v>
      </c>
      <c r="Z85" s="103">
        <f t="shared" si="131"/>
        <v>0</v>
      </c>
      <c r="AA85" s="44">
        <f t="shared" si="132"/>
        <v>0</v>
      </c>
      <c r="AB85" s="44">
        <v>15</v>
      </c>
      <c r="AC85" s="44">
        <f t="shared" ref="AC85:AC89" si="141">AB85/$AB$10*0.1*1254933</f>
        <v>5033.15374331551</v>
      </c>
      <c r="AD85" s="44"/>
      <c r="AE85" s="76"/>
      <c r="AF85" s="44"/>
      <c r="AG85" s="44">
        <f>VLOOKUP(B:B,[2]Sheet2!$B:$E,4,0)</f>
        <v>15</v>
      </c>
      <c r="AH85" s="44">
        <f t="shared" si="133"/>
        <v>150.451354062187</v>
      </c>
      <c r="AI85" s="44"/>
      <c r="AJ85" s="115">
        <f>VLOOKUP(B:B,'[1]扶贫资金项目情况调度统计表 (2)'!$B:$I,8,0)</f>
        <v>0.90051368870919</v>
      </c>
      <c r="AK85" s="44">
        <f t="shared" si="134"/>
        <v>276.277429152164</v>
      </c>
      <c r="AL85" s="76">
        <v>90.25</v>
      </c>
      <c r="AM85" s="44">
        <f t="shared" si="135"/>
        <v>251.276159230582</v>
      </c>
      <c r="AN85" s="67">
        <f t="shared" si="136"/>
        <v>6171</v>
      </c>
      <c r="AO85" s="44" t="e">
        <f>#REF!*1254933/1408452</f>
        <v>#REF!</v>
      </c>
      <c r="AP85" s="44" t="e">
        <f t="shared" si="137"/>
        <v>#REF!</v>
      </c>
      <c r="AQ85" s="126" t="e">
        <f t="shared" si="138"/>
        <v>#REF!</v>
      </c>
      <c r="AR85" s="44">
        <v>0</v>
      </c>
      <c r="AS85" s="44">
        <v>134</v>
      </c>
      <c r="AT85" s="44">
        <v>0</v>
      </c>
      <c r="AU85" s="127">
        <f t="shared" si="123"/>
        <v>6305</v>
      </c>
    </row>
    <row r="86" ht="17" customHeight="1" spans="1:47">
      <c r="A86" s="31">
        <v>53</v>
      </c>
      <c r="B86" s="51" t="s">
        <v>133</v>
      </c>
      <c r="C86" s="31" t="s">
        <v>93</v>
      </c>
      <c r="D86" s="31">
        <v>2019</v>
      </c>
      <c r="E86" s="31" t="s">
        <v>94</v>
      </c>
      <c r="F86" s="31" t="s">
        <v>146</v>
      </c>
      <c r="G86" s="44">
        <v>23060</v>
      </c>
      <c r="H86" s="44"/>
      <c r="I86" s="44"/>
      <c r="J86" s="75">
        <v>111848</v>
      </c>
      <c r="K86" s="76">
        <f t="shared" si="117"/>
        <v>89478.4</v>
      </c>
      <c r="L86" s="76">
        <f t="shared" si="118"/>
        <v>0</v>
      </c>
      <c r="M86" s="76">
        <f t="shared" si="119"/>
        <v>0</v>
      </c>
      <c r="N86" s="76">
        <f t="shared" si="120"/>
        <v>0</v>
      </c>
      <c r="O86" s="76">
        <f t="shared" si="121"/>
        <v>89478.4</v>
      </c>
      <c r="P86" s="76">
        <f t="shared" si="122"/>
        <v>0</v>
      </c>
      <c r="Q86" s="44">
        <v>13682</v>
      </c>
      <c r="R86" s="76">
        <v>12127</v>
      </c>
      <c r="S86" s="76">
        <f t="shared" si="128"/>
        <v>12127</v>
      </c>
      <c r="T86" s="76"/>
      <c r="U86" s="76"/>
      <c r="V86" s="76"/>
      <c r="W86" s="76">
        <f t="shared" si="139"/>
        <v>12127</v>
      </c>
      <c r="X86" s="44">
        <f t="shared" si="130"/>
        <v>6546.93925161281</v>
      </c>
      <c r="Y86" s="76">
        <v>10311</v>
      </c>
      <c r="Z86" s="103">
        <f t="shared" si="131"/>
        <v>0.478902554399243</v>
      </c>
      <c r="AA86" s="44">
        <f t="shared" si="132"/>
        <v>6656.6811757309</v>
      </c>
      <c r="AB86" s="44">
        <v>27</v>
      </c>
      <c r="AC86" s="44">
        <f t="shared" si="141"/>
        <v>9059.67673796791</v>
      </c>
      <c r="AD86" s="44">
        <v>1800</v>
      </c>
      <c r="AE86" s="76">
        <f t="shared" ref="AE84:AE89" si="142">K86</f>
        <v>89478.4</v>
      </c>
      <c r="AF86" s="44">
        <f t="shared" si="140"/>
        <v>9320.5861032865</v>
      </c>
      <c r="AG86" s="44">
        <f>VLOOKUP(B:B,[2]Sheet2!$B:$E,4,0)</f>
        <v>27</v>
      </c>
      <c r="AH86" s="44">
        <f t="shared" si="133"/>
        <v>270.812437311936</v>
      </c>
      <c r="AI86" s="44"/>
      <c r="AJ86" s="115">
        <f>VLOOKUP(B:B,'[1]扶贫资金项目情况调度统计表 (2)'!$B:$I,8,0)</f>
        <v>0.792148143267464</v>
      </c>
      <c r="AK86" s="44">
        <f t="shared" si="134"/>
        <v>243.030900333455</v>
      </c>
      <c r="AL86" s="76">
        <v>83.66</v>
      </c>
      <c r="AM86" s="44">
        <f t="shared" si="135"/>
        <v>232.92812721585</v>
      </c>
      <c r="AN86" s="67">
        <f t="shared" si="136"/>
        <v>34131</v>
      </c>
      <c r="AO86" s="44" t="e">
        <f>#REF!*1254933/1408452</f>
        <v>#REF!</v>
      </c>
      <c r="AP86" s="44" t="e">
        <f t="shared" si="137"/>
        <v>#REF!</v>
      </c>
      <c r="AQ86" s="126" t="e">
        <f t="shared" si="138"/>
        <v>#REF!</v>
      </c>
      <c r="AR86" s="44">
        <v>227</v>
      </c>
      <c r="AS86" s="44">
        <v>118</v>
      </c>
      <c r="AT86" s="44">
        <v>0</v>
      </c>
      <c r="AU86" s="127">
        <f t="shared" si="123"/>
        <v>34476</v>
      </c>
    </row>
    <row r="87" ht="17" customHeight="1" spans="1:47">
      <c r="A87" s="31">
        <v>54</v>
      </c>
      <c r="B87" s="51" t="s">
        <v>131</v>
      </c>
      <c r="C87" s="31" t="s">
        <v>93</v>
      </c>
      <c r="D87" s="31">
        <v>2019</v>
      </c>
      <c r="E87" s="31" t="s">
        <v>94</v>
      </c>
      <c r="F87" s="31"/>
      <c r="G87" s="44">
        <v>27300</v>
      </c>
      <c r="H87" s="44"/>
      <c r="I87" s="44"/>
      <c r="J87" s="75">
        <v>154382</v>
      </c>
      <c r="K87" s="76">
        <f t="shared" si="117"/>
        <v>123505.6</v>
      </c>
      <c r="L87" s="76">
        <f t="shared" si="118"/>
        <v>0</v>
      </c>
      <c r="M87" s="76">
        <f t="shared" si="119"/>
        <v>0</v>
      </c>
      <c r="N87" s="76">
        <f t="shared" si="120"/>
        <v>0</v>
      </c>
      <c r="O87" s="76">
        <f t="shared" si="121"/>
        <v>123505.6</v>
      </c>
      <c r="P87" s="76">
        <f t="shared" si="122"/>
        <v>0</v>
      </c>
      <c r="Q87" s="44">
        <v>12988</v>
      </c>
      <c r="R87" s="76">
        <v>10660</v>
      </c>
      <c r="S87" s="76">
        <f t="shared" si="128"/>
        <v>10660</v>
      </c>
      <c r="T87" s="76"/>
      <c r="U87" s="76"/>
      <c r="V87" s="76"/>
      <c r="W87" s="76">
        <f t="shared" si="139"/>
        <v>10660</v>
      </c>
      <c r="X87" s="44">
        <f t="shared" si="130"/>
        <v>8182.60296805421</v>
      </c>
      <c r="Y87" s="76">
        <v>10251</v>
      </c>
      <c r="Z87" s="103">
        <f t="shared" si="131"/>
        <v>0.490255439924314</v>
      </c>
      <c r="AA87" s="44">
        <f t="shared" si="132"/>
        <v>6814.48475950959</v>
      </c>
      <c r="AB87" s="44"/>
      <c r="AC87" s="44"/>
      <c r="AD87" s="44">
        <v>1800</v>
      </c>
      <c r="AE87" s="76">
        <f t="shared" si="142"/>
        <v>123505.6</v>
      </c>
      <c r="AF87" s="44">
        <f t="shared" si="140"/>
        <v>12865.0554663255</v>
      </c>
      <c r="AG87" s="44">
        <f>VLOOKUP(B:B,[2]Sheet2!$B:$E,4,0)</f>
        <v>6</v>
      </c>
      <c r="AH87" s="44">
        <f t="shared" si="133"/>
        <v>60.1805416248746</v>
      </c>
      <c r="AI87" s="44"/>
      <c r="AJ87" s="115">
        <f>VLOOKUP(B:B,'[1]扶贫资金项目情况调度统计表 (2)'!$B:$I,8,0)</f>
        <v>0.719756261293017</v>
      </c>
      <c r="AK87" s="44">
        <f t="shared" si="134"/>
        <v>220.821084653633</v>
      </c>
      <c r="AL87" s="76">
        <v>93.39</v>
      </c>
      <c r="AM87" s="44">
        <f t="shared" si="135"/>
        <v>260.018620615446</v>
      </c>
      <c r="AN87" s="67">
        <f t="shared" si="136"/>
        <v>30203</v>
      </c>
      <c r="AO87" s="44" t="e">
        <f>#REF!*1254933/1408452</f>
        <v>#REF!</v>
      </c>
      <c r="AP87" s="44" t="e">
        <f t="shared" si="137"/>
        <v>#REF!</v>
      </c>
      <c r="AQ87" s="126" t="e">
        <f t="shared" si="138"/>
        <v>#REF!</v>
      </c>
      <c r="AR87" s="44">
        <v>483</v>
      </c>
      <c r="AS87" s="44">
        <v>0</v>
      </c>
      <c r="AT87" s="44">
        <v>91</v>
      </c>
      <c r="AU87" s="127">
        <f t="shared" si="123"/>
        <v>30777</v>
      </c>
    </row>
    <row r="88" ht="17" customHeight="1" spans="1:47">
      <c r="A88" s="31">
        <v>55</v>
      </c>
      <c r="B88" s="51" t="s">
        <v>132</v>
      </c>
      <c r="C88" s="31" t="s">
        <v>93</v>
      </c>
      <c r="D88" s="31">
        <v>2019</v>
      </c>
      <c r="E88" s="31" t="s">
        <v>94</v>
      </c>
      <c r="F88" s="31"/>
      <c r="G88" s="44">
        <v>22824</v>
      </c>
      <c r="H88" s="44"/>
      <c r="I88" s="44"/>
      <c r="J88" s="75">
        <v>105952</v>
      </c>
      <c r="K88" s="76">
        <f t="shared" si="117"/>
        <v>84761.6</v>
      </c>
      <c r="L88" s="76">
        <f t="shared" si="118"/>
        <v>0</v>
      </c>
      <c r="M88" s="76">
        <f t="shared" si="119"/>
        <v>0</v>
      </c>
      <c r="N88" s="76">
        <f t="shared" si="120"/>
        <v>0</v>
      </c>
      <c r="O88" s="76">
        <f t="shared" si="121"/>
        <v>84761.6</v>
      </c>
      <c r="P88" s="76">
        <f t="shared" si="122"/>
        <v>0</v>
      </c>
      <c r="Q88" s="44">
        <v>10335</v>
      </c>
      <c r="R88" s="76">
        <v>12905</v>
      </c>
      <c r="S88" s="76">
        <f t="shared" si="128"/>
        <v>12905</v>
      </c>
      <c r="T88" s="76"/>
      <c r="U88" s="76"/>
      <c r="V88" s="76"/>
      <c r="W88" s="76">
        <f t="shared" si="139"/>
        <v>12905</v>
      </c>
      <c r="X88" s="44">
        <f t="shared" si="130"/>
        <v>6099.56731155172</v>
      </c>
      <c r="Y88" s="76">
        <v>10430</v>
      </c>
      <c r="Z88" s="103">
        <f t="shared" si="131"/>
        <v>0.456385998107852</v>
      </c>
      <c r="AA88" s="44">
        <f t="shared" si="132"/>
        <v>6343.70406790317</v>
      </c>
      <c r="AB88" s="44"/>
      <c r="AC88" s="44"/>
      <c r="AD88" s="44">
        <v>1800</v>
      </c>
      <c r="AE88" s="76">
        <f t="shared" si="142"/>
        <v>84761.6</v>
      </c>
      <c r="AF88" s="44">
        <f t="shared" si="140"/>
        <v>8829.25701680326</v>
      </c>
      <c r="AG88" s="44">
        <f>VLOOKUP(B:B,[2]Sheet2!$B:$E,4,0)</f>
        <v>5</v>
      </c>
      <c r="AH88" s="44">
        <f t="shared" si="133"/>
        <v>50.1504513540622</v>
      </c>
      <c r="AI88" s="44"/>
      <c r="AJ88" s="115">
        <f>VLOOKUP(B:B,'[1]扶贫资金项目情况调度统计表 (2)'!$B:$I,8,0)</f>
        <v>0.741957989315511</v>
      </c>
      <c r="AK88" s="44">
        <f t="shared" si="134"/>
        <v>227.632570606259</v>
      </c>
      <c r="AL88" s="76">
        <v>91.59</v>
      </c>
      <c r="AM88" s="44">
        <f t="shared" si="135"/>
        <v>255.007018547689</v>
      </c>
      <c r="AN88" s="67">
        <f t="shared" si="136"/>
        <v>23605</v>
      </c>
      <c r="AO88" s="44" t="e">
        <f>#REF!*1254933/1408452</f>
        <v>#REF!</v>
      </c>
      <c r="AP88" s="44" t="e">
        <f t="shared" si="137"/>
        <v>#REF!</v>
      </c>
      <c r="AQ88" s="126" t="e">
        <f t="shared" si="138"/>
        <v>#REF!</v>
      </c>
      <c r="AR88" s="44">
        <v>720</v>
      </c>
      <c r="AS88" s="44">
        <v>0</v>
      </c>
      <c r="AT88" s="44">
        <v>95</v>
      </c>
      <c r="AU88" s="127">
        <f t="shared" si="123"/>
        <v>24420</v>
      </c>
    </row>
    <row r="89" ht="17" customHeight="1" spans="1:47">
      <c r="A89" s="31">
        <v>56</v>
      </c>
      <c r="B89" s="51" t="s">
        <v>134</v>
      </c>
      <c r="C89" s="31" t="s">
        <v>93</v>
      </c>
      <c r="D89" s="31">
        <v>2019</v>
      </c>
      <c r="E89" s="31" t="s">
        <v>94</v>
      </c>
      <c r="F89" s="31" t="s">
        <v>146</v>
      </c>
      <c r="G89" s="44">
        <v>21277</v>
      </c>
      <c r="H89" s="44"/>
      <c r="I89" s="44"/>
      <c r="J89" s="75">
        <v>97676</v>
      </c>
      <c r="K89" s="76">
        <f t="shared" si="117"/>
        <v>78140.8</v>
      </c>
      <c r="L89" s="76">
        <f t="shared" si="118"/>
        <v>0</v>
      </c>
      <c r="M89" s="76">
        <f t="shared" si="119"/>
        <v>0</v>
      </c>
      <c r="N89" s="76">
        <f t="shared" si="120"/>
        <v>0</v>
      </c>
      <c r="O89" s="76">
        <f t="shared" si="121"/>
        <v>78140.8</v>
      </c>
      <c r="P89" s="76">
        <f t="shared" si="122"/>
        <v>0</v>
      </c>
      <c r="Q89" s="44">
        <v>7457</v>
      </c>
      <c r="R89" s="76">
        <v>10686</v>
      </c>
      <c r="S89" s="76">
        <f t="shared" si="128"/>
        <v>10686</v>
      </c>
      <c r="T89" s="76"/>
      <c r="U89" s="76"/>
      <c r="V89" s="76"/>
      <c r="W89" s="76">
        <f t="shared" si="139"/>
        <v>10686</v>
      </c>
      <c r="X89" s="44">
        <f t="shared" si="130"/>
        <v>5385.49598178313</v>
      </c>
      <c r="Y89" s="76">
        <v>10266</v>
      </c>
      <c r="Z89" s="103">
        <f t="shared" si="131"/>
        <v>0.487417218543046</v>
      </c>
      <c r="AA89" s="44">
        <f t="shared" si="132"/>
        <v>6775.03386356491</v>
      </c>
      <c r="AB89" s="44">
        <v>7</v>
      </c>
      <c r="AC89" s="44">
        <f t="shared" si="141"/>
        <v>2348.8050802139</v>
      </c>
      <c r="AD89" s="44">
        <v>1800</v>
      </c>
      <c r="AE89" s="76">
        <f t="shared" si="142"/>
        <v>78140.8</v>
      </c>
      <c r="AF89" s="44">
        <f t="shared" si="140"/>
        <v>8139.59631128507</v>
      </c>
      <c r="AG89" s="44">
        <f>VLOOKUP(B:B,[2]Sheet2!$B:$E,4,0)</f>
        <v>7</v>
      </c>
      <c r="AH89" s="44">
        <f t="shared" si="133"/>
        <v>70.2106318956871</v>
      </c>
      <c r="AI89" s="44"/>
      <c r="AJ89" s="115">
        <f>VLOOKUP(B:B,'[1]扶贫资金项目情况调度统计表 (2)'!$B:$I,8,0)</f>
        <v>0.68520436198848</v>
      </c>
      <c r="AK89" s="44">
        <f t="shared" si="134"/>
        <v>210.220568490614</v>
      </c>
      <c r="AL89" s="76">
        <v>90.88</v>
      </c>
      <c r="AM89" s="44">
        <f t="shared" si="135"/>
        <v>253.030219954296</v>
      </c>
      <c r="AN89" s="67">
        <f t="shared" si="136"/>
        <v>24982</v>
      </c>
      <c r="AO89" s="44" t="e">
        <f>#REF!*1254933/1408452</f>
        <v>#REF!</v>
      </c>
      <c r="AP89" s="44" t="e">
        <f t="shared" si="137"/>
        <v>#REF!</v>
      </c>
      <c r="AQ89" s="126" t="e">
        <f t="shared" si="138"/>
        <v>#REF!</v>
      </c>
      <c r="AR89" s="44">
        <v>0</v>
      </c>
      <c r="AS89" s="44">
        <v>0</v>
      </c>
      <c r="AT89" s="44">
        <v>0</v>
      </c>
      <c r="AU89" s="127">
        <f t="shared" si="123"/>
        <v>24982</v>
      </c>
    </row>
    <row r="90" s="6" customFormat="1" ht="17" customHeight="1" spans="1:85">
      <c r="A90" s="39"/>
      <c r="B90" s="40" t="s">
        <v>136</v>
      </c>
      <c r="C90" s="41">
        <v>1</v>
      </c>
      <c r="D90" s="41"/>
      <c r="E90" s="41"/>
      <c r="F90" s="41"/>
      <c r="G90" s="43">
        <v>120324</v>
      </c>
      <c r="H90" s="43">
        <f>H91+H92</f>
        <v>0</v>
      </c>
      <c r="I90" s="43">
        <f>I91+I92</f>
        <v>0</v>
      </c>
      <c r="J90" s="54">
        <f t="shared" ref="J90:X90" si="143">J91+J92</f>
        <v>573982</v>
      </c>
      <c r="K90" s="77">
        <f t="shared" si="143"/>
        <v>469160.6</v>
      </c>
      <c r="L90" s="77">
        <f t="shared" si="143"/>
        <v>0</v>
      </c>
      <c r="M90" s="77">
        <f t="shared" si="143"/>
        <v>0</v>
      </c>
      <c r="N90" s="77">
        <f t="shared" si="143"/>
        <v>54529.8</v>
      </c>
      <c r="O90" s="77">
        <f t="shared" si="143"/>
        <v>273872.8</v>
      </c>
      <c r="P90" s="77">
        <f t="shared" si="143"/>
        <v>140758</v>
      </c>
      <c r="Q90" s="43">
        <v>68675</v>
      </c>
      <c r="R90" s="77">
        <f t="shared" si="143"/>
        <v>37005</v>
      </c>
      <c r="S90" s="77">
        <f t="shared" si="143"/>
        <v>29105.8</v>
      </c>
      <c r="T90" s="77">
        <f t="shared" si="143"/>
        <v>0</v>
      </c>
      <c r="U90" s="77">
        <f t="shared" si="143"/>
        <v>1494.6</v>
      </c>
      <c r="V90" s="77">
        <f t="shared" si="143"/>
        <v>27611.2</v>
      </c>
      <c r="W90" s="77">
        <f t="shared" si="143"/>
        <v>0</v>
      </c>
      <c r="X90" s="43">
        <f t="shared" si="143"/>
        <v>31772.1972191331</v>
      </c>
      <c r="Y90" s="77"/>
      <c r="Z90" s="104">
        <f t="shared" ref="Z90:AD90" si="144">Z91+Z92</f>
        <v>1.03122043519395</v>
      </c>
      <c r="AA90" s="43">
        <f t="shared" si="144"/>
        <v>14333.825526564</v>
      </c>
      <c r="AB90" s="43">
        <v>42</v>
      </c>
      <c r="AC90" s="43">
        <f t="shared" si="144"/>
        <v>14092.8304812834</v>
      </c>
      <c r="AD90" s="43">
        <f t="shared" si="144"/>
        <v>3600</v>
      </c>
      <c r="AE90" s="54">
        <f t="shared" ref="AE90:AI90" si="145">AE91+AE92</f>
        <v>316403.16</v>
      </c>
      <c r="AF90" s="43">
        <f t="shared" si="145"/>
        <v>32958.3776211011</v>
      </c>
      <c r="AG90" s="43">
        <f t="shared" si="145"/>
        <v>70</v>
      </c>
      <c r="AH90" s="43">
        <f t="shared" si="145"/>
        <v>702.10631895687</v>
      </c>
      <c r="AI90" s="43">
        <f t="shared" si="145"/>
        <v>0</v>
      </c>
      <c r="AJ90" s="118"/>
      <c r="AK90" s="43">
        <f t="shared" ref="AK90:AO90" si="146">AK91+AK92</f>
        <v>1747.54833430181</v>
      </c>
      <c r="AL90" s="54">
        <f t="shared" si="146"/>
        <v>738.75</v>
      </c>
      <c r="AM90" s="43">
        <f t="shared" si="146"/>
        <v>2056.8450153085</v>
      </c>
      <c r="AN90" s="119">
        <f t="shared" si="146"/>
        <v>101264</v>
      </c>
      <c r="AO90" s="43" t="e">
        <f t="shared" si="146"/>
        <v>#REF!</v>
      </c>
      <c r="AP90" s="86" t="e">
        <f t="shared" si="137"/>
        <v>#REF!</v>
      </c>
      <c r="AQ90" s="125" t="e">
        <f t="shared" si="138"/>
        <v>#REF!</v>
      </c>
      <c r="AR90" s="43">
        <v>2155</v>
      </c>
      <c r="AS90" s="43">
        <v>328</v>
      </c>
      <c r="AT90" s="43">
        <v>266</v>
      </c>
      <c r="AU90" s="43">
        <f>AU91+AU92</f>
        <v>104013</v>
      </c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</row>
    <row r="91" ht="17" customHeight="1" spans="1:47">
      <c r="A91" s="29"/>
      <c r="B91" s="30" t="s">
        <v>137</v>
      </c>
      <c r="C91" s="31">
        <v>2</v>
      </c>
      <c r="D91" s="31"/>
      <c r="E91" s="31"/>
      <c r="F91" s="31"/>
      <c r="G91" s="44">
        <v>2483</v>
      </c>
      <c r="H91" s="44"/>
      <c r="I91" s="44"/>
      <c r="J91" s="75"/>
      <c r="K91" s="76">
        <f t="shared" ref="K91:K100" si="147">SUM(L91:P91)</f>
        <v>0</v>
      </c>
      <c r="L91" s="76">
        <f t="shared" ref="L91:L100" si="148">IF(D91="",J91*0.2,0)</f>
        <v>0</v>
      </c>
      <c r="M91" s="76">
        <f t="shared" ref="M91:M100" si="149">IF(D91=2017,J91*0.4,0)</f>
        <v>0</v>
      </c>
      <c r="N91" s="76">
        <f t="shared" ref="N91:N100" si="150">IF(D91=2018,J91*0.6,0)</f>
        <v>0</v>
      </c>
      <c r="O91" s="76">
        <f t="shared" ref="O91:O100" si="151">IF(D91=2019,J91*0.8,0)</f>
        <v>0</v>
      </c>
      <c r="P91" s="76">
        <f t="shared" ref="P91:P100" si="152">IF(D91=2020,J91*1,0)</f>
        <v>0</v>
      </c>
      <c r="Q91" s="44"/>
      <c r="R91" s="76"/>
      <c r="S91" s="76">
        <f>O91*0.4+P91*0.6+Q91*0.8+R91*1</f>
        <v>0</v>
      </c>
      <c r="T91" s="76">
        <f>R91-U91-V91-W91</f>
        <v>0</v>
      </c>
      <c r="U91" s="76"/>
      <c r="V91" s="76"/>
      <c r="W91" s="76"/>
      <c r="X91" s="44"/>
      <c r="Y91" s="76"/>
      <c r="Z91" s="103"/>
      <c r="AA91" s="44"/>
      <c r="AB91" s="44"/>
      <c r="AC91" s="44"/>
      <c r="AD91" s="44"/>
      <c r="AE91" s="76"/>
      <c r="AF91" s="44"/>
      <c r="AG91" s="44"/>
      <c r="AH91" s="44"/>
      <c r="AI91" s="44"/>
      <c r="AJ91" s="115"/>
      <c r="AK91" s="44"/>
      <c r="AL91" s="76"/>
      <c r="AM91" s="44"/>
      <c r="AN91" s="44"/>
      <c r="AO91" s="44"/>
      <c r="AP91" s="86">
        <f t="shared" si="137"/>
        <v>0</v>
      </c>
      <c r="AQ91" s="125"/>
      <c r="AR91" s="44"/>
      <c r="AS91" s="44"/>
      <c r="AT91" s="44"/>
      <c r="AU91" s="127">
        <f t="shared" ref="AU91:AU100" si="153">AT91+AS91+AR91+AN91</f>
        <v>0</v>
      </c>
    </row>
    <row r="92" s="7" customFormat="1" ht="17" customHeight="1" spans="1:85">
      <c r="A92" s="45"/>
      <c r="B92" s="46" t="s">
        <v>76</v>
      </c>
      <c r="C92" s="47">
        <v>3</v>
      </c>
      <c r="D92" s="47"/>
      <c r="E92" s="47"/>
      <c r="F92" s="47"/>
      <c r="G92" s="49">
        <v>117841</v>
      </c>
      <c r="H92" s="49">
        <f>SUM(H93:H100)</f>
        <v>0</v>
      </c>
      <c r="I92" s="49">
        <f>SUM(I93:I100)</f>
        <v>0</v>
      </c>
      <c r="J92" s="55">
        <f t="shared" ref="J92:X92" si="154">SUM(J93:J100)</f>
        <v>573982</v>
      </c>
      <c r="K92" s="78">
        <f t="shared" si="154"/>
        <v>469160.6</v>
      </c>
      <c r="L92" s="78">
        <f t="shared" si="154"/>
        <v>0</v>
      </c>
      <c r="M92" s="78">
        <f t="shared" si="154"/>
        <v>0</v>
      </c>
      <c r="N92" s="78">
        <f t="shared" si="154"/>
        <v>54529.8</v>
      </c>
      <c r="O92" s="78">
        <f t="shared" si="154"/>
        <v>273872.8</v>
      </c>
      <c r="P92" s="78">
        <f t="shared" si="154"/>
        <v>140758</v>
      </c>
      <c r="Q92" s="49">
        <v>68675</v>
      </c>
      <c r="R92" s="78">
        <f t="shared" si="154"/>
        <v>37005</v>
      </c>
      <c r="S92" s="78">
        <f t="shared" si="154"/>
        <v>29105.8</v>
      </c>
      <c r="T92" s="78">
        <f t="shared" si="154"/>
        <v>0</v>
      </c>
      <c r="U92" s="78">
        <f t="shared" si="154"/>
        <v>1494.6</v>
      </c>
      <c r="V92" s="78">
        <f t="shared" si="154"/>
        <v>27611.2</v>
      </c>
      <c r="W92" s="78">
        <f t="shared" si="154"/>
        <v>0</v>
      </c>
      <c r="X92" s="49">
        <f t="shared" si="154"/>
        <v>31772.1972191331</v>
      </c>
      <c r="Y92" s="78"/>
      <c r="Z92" s="105">
        <f t="shared" ref="Z92:AD92" si="155">SUM(Z93:Z100)</f>
        <v>1.03122043519395</v>
      </c>
      <c r="AA92" s="49">
        <f t="shared" si="155"/>
        <v>14333.825526564</v>
      </c>
      <c r="AB92" s="49">
        <v>42</v>
      </c>
      <c r="AC92" s="49">
        <f t="shared" si="155"/>
        <v>14092.8304812834</v>
      </c>
      <c r="AD92" s="49">
        <f t="shared" si="155"/>
        <v>3600</v>
      </c>
      <c r="AE92" s="55">
        <f t="shared" ref="AE92:AI92" si="156">SUM(AE93:AE100)</f>
        <v>316403.16</v>
      </c>
      <c r="AF92" s="49">
        <f t="shared" si="156"/>
        <v>32958.3776211011</v>
      </c>
      <c r="AG92" s="49">
        <f t="shared" si="156"/>
        <v>70</v>
      </c>
      <c r="AH92" s="49">
        <f t="shared" si="156"/>
        <v>702.10631895687</v>
      </c>
      <c r="AI92" s="49">
        <f t="shared" si="156"/>
        <v>0</v>
      </c>
      <c r="AJ92" s="120"/>
      <c r="AK92" s="49">
        <f t="shared" ref="AK92:AO92" si="157">SUM(AK93:AK100)</f>
        <v>1747.54833430181</v>
      </c>
      <c r="AL92" s="55">
        <f t="shared" si="157"/>
        <v>738.75</v>
      </c>
      <c r="AM92" s="49">
        <f t="shared" si="157"/>
        <v>2056.8450153085</v>
      </c>
      <c r="AN92" s="121">
        <f t="shared" si="157"/>
        <v>101264</v>
      </c>
      <c r="AO92" s="49" t="e">
        <f t="shared" si="157"/>
        <v>#REF!</v>
      </c>
      <c r="AP92" s="86" t="e">
        <f t="shared" si="137"/>
        <v>#REF!</v>
      </c>
      <c r="AQ92" s="125" t="e">
        <f t="shared" si="138"/>
        <v>#REF!</v>
      </c>
      <c r="AR92" s="49">
        <v>2155</v>
      </c>
      <c r="AS92" s="49">
        <v>328</v>
      </c>
      <c r="AT92" s="49">
        <v>266</v>
      </c>
      <c r="AU92" s="49">
        <f>SUM(AU93:AU100)</f>
        <v>104013</v>
      </c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</row>
    <row r="93" ht="17" customHeight="1" spans="1:47">
      <c r="A93" s="31">
        <v>57</v>
      </c>
      <c r="B93" s="51" t="s">
        <v>138</v>
      </c>
      <c r="C93" s="31" t="s">
        <v>90</v>
      </c>
      <c r="D93" s="31">
        <v>2019</v>
      </c>
      <c r="E93" s="31"/>
      <c r="F93" s="31"/>
      <c r="G93" s="44">
        <v>7064</v>
      </c>
      <c r="H93" s="44"/>
      <c r="I93" s="44"/>
      <c r="J93" s="75">
        <v>56067</v>
      </c>
      <c r="K93" s="76">
        <f t="shared" si="147"/>
        <v>44853.6</v>
      </c>
      <c r="L93" s="76">
        <f t="shared" si="148"/>
        <v>0</v>
      </c>
      <c r="M93" s="76">
        <f t="shared" si="149"/>
        <v>0</v>
      </c>
      <c r="N93" s="76">
        <f t="shared" si="150"/>
        <v>0</v>
      </c>
      <c r="O93" s="76">
        <f t="shared" si="151"/>
        <v>44853.6</v>
      </c>
      <c r="P93" s="76">
        <f t="shared" si="152"/>
        <v>0</v>
      </c>
      <c r="Q93" s="44">
        <v>6836</v>
      </c>
      <c r="R93" s="76">
        <v>4466</v>
      </c>
      <c r="S93" s="76">
        <f t="shared" ref="S93:S100" si="158">T93+U93+V93+W93</f>
        <v>3572.8</v>
      </c>
      <c r="T93" s="76"/>
      <c r="U93" s="76"/>
      <c r="V93" s="76">
        <f t="shared" ref="V93:V100" si="159">R93*0.8</f>
        <v>3572.8</v>
      </c>
      <c r="W93" s="76"/>
      <c r="X93" s="44">
        <f t="shared" ref="X93:X100" si="160">(K93/$K$10*0.2+Q93/$Q$10*0.05+S93/$S$10*0.05)*1254933</f>
        <v>3111.18685683595</v>
      </c>
      <c r="Y93" s="76">
        <v>13321</v>
      </c>
      <c r="Z93" s="103">
        <f t="shared" ref="Z93:Z100" si="161">IF(Y93&lt;12842,(12842-Y93)/(12842-$Y$176),0)</f>
        <v>0</v>
      </c>
      <c r="AA93" s="44">
        <f t="shared" ref="AA93:AA100" si="162">(Z93/$Z$10*0.2)*1254933</f>
        <v>0</v>
      </c>
      <c r="AB93" s="44"/>
      <c r="AC93" s="44"/>
      <c r="AD93" s="44"/>
      <c r="AE93" s="76"/>
      <c r="AF93" s="44"/>
      <c r="AG93" s="44">
        <f>VLOOKUP(B:B,[2]Sheet2!$B:$E,4,0)</f>
        <v>7</v>
      </c>
      <c r="AH93" s="44">
        <f t="shared" ref="AH93:AH100" si="163">AG93/$AG$10*10000</f>
        <v>70.2106318956871</v>
      </c>
      <c r="AI93" s="44"/>
      <c r="AJ93" s="115">
        <f>VLOOKUP(B:B,'[1]扶贫资金项目情况调度统计表 (2)'!$B:$I,8,0)</f>
        <v>0.818237509273209</v>
      </c>
      <c r="AK93" s="44">
        <f t="shared" ref="AK93:AK100" si="164">AJ93/$AJ$10*0.025*1254933</f>
        <v>251.035112883082</v>
      </c>
      <c r="AL93" s="76">
        <v>91.39</v>
      </c>
      <c r="AM93" s="44">
        <f t="shared" ref="AM93:AM100" si="165">(AL93/$AL$10)*0.025*1254933</f>
        <v>254.450173873494</v>
      </c>
      <c r="AN93" s="67">
        <f t="shared" ref="AN93:AN100" si="166">ROUND(AM93+AK93+AI93+AF93+AH93+AD93+AC93+AA93+X93,0)</f>
        <v>3687</v>
      </c>
      <c r="AO93" s="44" t="e">
        <f>#REF!*1254933/1408452</f>
        <v>#REF!</v>
      </c>
      <c r="AP93" s="44" t="e">
        <f t="shared" si="137"/>
        <v>#REF!</v>
      </c>
      <c r="AQ93" s="126" t="e">
        <f t="shared" si="138"/>
        <v>#REF!</v>
      </c>
      <c r="AR93" s="44">
        <v>0</v>
      </c>
      <c r="AS93" s="44">
        <v>0</v>
      </c>
      <c r="AT93" s="44">
        <v>0</v>
      </c>
      <c r="AU93" s="127">
        <f t="shared" si="153"/>
        <v>3687</v>
      </c>
    </row>
    <row r="94" ht="17" customHeight="1" spans="1:47">
      <c r="A94" s="31">
        <v>58</v>
      </c>
      <c r="B94" s="51" t="s">
        <v>139</v>
      </c>
      <c r="C94" s="31" t="s">
        <v>90</v>
      </c>
      <c r="D94" s="31">
        <v>2018</v>
      </c>
      <c r="E94" s="31"/>
      <c r="F94" s="31"/>
      <c r="G94" s="44">
        <v>7940</v>
      </c>
      <c r="H94" s="44"/>
      <c r="I94" s="44"/>
      <c r="J94" s="75">
        <v>58746</v>
      </c>
      <c r="K94" s="76">
        <f t="shared" si="147"/>
        <v>35247.6</v>
      </c>
      <c r="L94" s="76">
        <f t="shared" si="148"/>
        <v>0</v>
      </c>
      <c r="M94" s="76">
        <f t="shared" si="149"/>
        <v>0</v>
      </c>
      <c r="N94" s="76">
        <f t="shared" si="150"/>
        <v>35247.6</v>
      </c>
      <c r="O94" s="76">
        <f t="shared" si="151"/>
        <v>0</v>
      </c>
      <c r="P94" s="76">
        <f t="shared" si="152"/>
        <v>0</v>
      </c>
      <c r="Q94" s="44">
        <v>6310</v>
      </c>
      <c r="R94" s="76">
        <v>2491</v>
      </c>
      <c r="S94" s="76">
        <f t="shared" si="158"/>
        <v>1494.6</v>
      </c>
      <c r="T94" s="76"/>
      <c r="U94" s="76">
        <f>R94*0.6</f>
        <v>1494.6</v>
      </c>
      <c r="V94" s="76"/>
      <c r="W94" s="76"/>
      <c r="X94" s="44">
        <f t="shared" si="160"/>
        <v>2427.02640391074</v>
      </c>
      <c r="Y94" s="76">
        <v>12705</v>
      </c>
      <c r="Z94" s="103">
        <f t="shared" si="161"/>
        <v>0.025922421948912</v>
      </c>
      <c r="AA94" s="44">
        <f t="shared" si="162"/>
        <v>360.318182961333</v>
      </c>
      <c r="AB94" s="44"/>
      <c r="AC94" s="44"/>
      <c r="AD94" s="44"/>
      <c r="AE94" s="76"/>
      <c r="AF94" s="44"/>
      <c r="AG94" s="44">
        <f>VLOOKUP(B:B,[2]Sheet2!$B:$E,4,0)</f>
        <v>5</v>
      </c>
      <c r="AH94" s="44">
        <f t="shared" si="163"/>
        <v>50.1504513540622</v>
      </c>
      <c r="AI94" s="44"/>
      <c r="AJ94" s="115">
        <f>VLOOKUP(B:B,'[1]扶贫资金项目情况调度统计表 (2)'!$B:$I,8,0)</f>
        <v>0.864930877047348</v>
      </c>
      <c r="AK94" s="44">
        <f t="shared" si="164"/>
        <v>265.360629273162</v>
      </c>
      <c r="AL94" s="76">
        <v>93.26</v>
      </c>
      <c r="AM94" s="44">
        <f t="shared" si="165"/>
        <v>259.656671577219</v>
      </c>
      <c r="AN94" s="67">
        <f t="shared" si="166"/>
        <v>3363</v>
      </c>
      <c r="AO94" s="44" t="e">
        <f>#REF!*1254933/1408452</f>
        <v>#REF!</v>
      </c>
      <c r="AP94" s="44" t="e">
        <f t="shared" si="137"/>
        <v>#REF!</v>
      </c>
      <c r="AQ94" s="126" t="e">
        <f t="shared" si="138"/>
        <v>#REF!</v>
      </c>
      <c r="AR94" s="44">
        <v>0</v>
      </c>
      <c r="AS94" s="44">
        <v>0</v>
      </c>
      <c r="AT94" s="44">
        <v>0</v>
      </c>
      <c r="AU94" s="127">
        <f t="shared" si="153"/>
        <v>3363</v>
      </c>
    </row>
    <row r="95" ht="17" customHeight="1" spans="1:47">
      <c r="A95" s="31">
        <v>59</v>
      </c>
      <c r="B95" s="51" t="s">
        <v>140</v>
      </c>
      <c r="C95" s="31" t="s">
        <v>90</v>
      </c>
      <c r="D95" s="31">
        <v>2018</v>
      </c>
      <c r="E95" s="31" t="s">
        <v>91</v>
      </c>
      <c r="F95" s="31"/>
      <c r="G95" s="44">
        <v>9330</v>
      </c>
      <c r="H95" s="44"/>
      <c r="I95" s="44"/>
      <c r="J95" s="75">
        <v>32137</v>
      </c>
      <c r="K95" s="76">
        <f t="shared" si="147"/>
        <v>19282.2</v>
      </c>
      <c r="L95" s="76">
        <f t="shared" si="148"/>
        <v>0</v>
      </c>
      <c r="M95" s="76">
        <f t="shared" si="149"/>
        <v>0</v>
      </c>
      <c r="N95" s="76">
        <f t="shared" si="150"/>
        <v>19282.2</v>
      </c>
      <c r="O95" s="76">
        <f t="shared" si="151"/>
        <v>0</v>
      </c>
      <c r="P95" s="76">
        <f t="shared" si="152"/>
        <v>0</v>
      </c>
      <c r="Q95" s="44">
        <v>4671</v>
      </c>
      <c r="R95" s="76">
        <v>3630</v>
      </c>
      <c r="S95" s="76">
        <f t="shared" si="158"/>
        <v>2904</v>
      </c>
      <c r="T95" s="76"/>
      <c r="U95" s="76"/>
      <c r="V95" s="76">
        <f t="shared" si="159"/>
        <v>2904</v>
      </c>
      <c r="W95" s="76"/>
      <c r="X95" s="44">
        <f t="shared" si="160"/>
        <v>1560.19743486824</v>
      </c>
      <c r="Y95" s="76">
        <v>11495</v>
      </c>
      <c r="Z95" s="103">
        <f t="shared" si="161"/>
        <v>0.254872280037843</v>
      </c>
      <c r="AA95" s="44">
        <f t="shared" si="162"/>
        <v>3542.6904558315</v>
      </c>
      <c r="AB95" s="44"/>
      <c r="AC95" s="44"/>
      <c r="AD95" s="44"/>
      <c r="AE95" s="76">
        <f t="shared" ref="AE95:AE98" si="167">K95*0.6</f>
        <v>11569.32</v>
      </c>
      <c r="AF95" s="44">
        <f t="shared" ref="AF95:AF100" si="168">AE95/$AE$10*372626.55</f>
        <v>1205.12708336844</v>
      </c>
      <c r="AG95" s="44">
        <f>VLOOKUP(B:B,[2]Sheet2!$B:$E,4,0)</f>
        <v>5</v>
      </c>
      <c r="AH95" s="44">
        <f t="shared" si="163"/>
        <v>50.1504513540622</v>
      </c>
      <c r="AI95" s="44"/>
      <c r="AJ95" s="115">
        <f>VLOOKUP(B:B,'[1]扶贫资金项目情况调度统计表 (2)'!$B:$I,8,0)</f>
        <v>0.726911386420835</v>
      </c>
      <c r="AK95" s="44">
        <f t="shared" si="164"/>
        <v>223.016275687774</v>
      </c>
      <c r="AL95" s="76">
        <v>89.75</v>
      </c>
      <c r="AM95" s="44">
        <f t="shared" si="165"/>
        <v>249.884047545093</v>
      </c>
      <c r="AN95" s="67">
        <f t="shared" si="166"/>
        <v>6831</v>
      </c>
      <c r="AO95" s="44" t="e">
        <f>#REF!*1254933/1408452</f>
        <v>#REF!</v>
      </c>
      <c r="AP95" s="44" t="e">
        <f t="shared" si="137"/>
        <v>#REF!</v>
      </c>
      <c r="AQ95" s="126" t="e">
        <f t="shared" si="138"/>
        <v>#REF!</v>
      </c>
      <c r="AR95" s="44">
        <v>0</v>
      </c>
      <c r="AS95" s="44">
        <v>0</v>
      </c>
      <c r="AT95" s="44">
        <v>0</v>
      </c>
      <c r="AU95" s="127">
        <f t="shared" si="153"/>
        <v>6831</v>
      </c>
    </row>
    <row r="96" ht="17" customHeight="1" spans="1:47">
      <c r="A96" s="31">
        <v>60</v>
      </c>
      <c r="B96" s="51" t="s">
        <v>141</v>
      </c>
      <c r="C96" s="31" t="s">
        <v>90</v>
      </c>
      <c r="D96" s="31">
        <v>2019</v>
      </c>
      <c r="E96" s="31" t="s">
        <v>91</v>
      </c>
      <c r="F96" s="31" t="s">
        <v>146</v>
      </c>
      <c r="G96" s="44">
        <v>12936</v>
      </c>
      <c r="H96" s="44"/>
      <c r="I96" s="44"/>
      <c r="J96" s="75">
        <v>68883</v>
      </c>
      <c r="K96" s="76">
        <f t="shared" si="147"/>
        <v>55106.4</v>
      </c>
      <c r="L96" s="76">
        <f t="shared" si="148"/>
        <v>0</v>
      </c>
      <c r="M96" s="76">
        <f t="shared" si="149"/>
        <v>0</v>
      </c>
      <c r="N96" s="76">
        <f t="shared" si="150"/>
        <v>0</v>
      </c>
      <c r="O96" s="76">
        <f t="shared" si="151"/>
        <v>55106.4</v>
      </c>
      <c r="P96" s="76">
        <f t="shared" si="152"/>
        <v>0</v>
      </c>
      <c r="Q96" s="44">
        <v>3623</v>
      </c>
      <c r="R96" s="76">
        <v>3291</v>
      </c>
      <c r="S96" s="76">
        <f t="shared" si="158"/>
        <v>2632.8</v>
      </c>
      <c r="T96" s="76"/>
      <c r="U96" s="76"/>
      <c r="V96" s="76">
        <f t="shared" si="159"/>
        <v>2632.8</v>
      </c>
      <c r="W96" s="76"/>
      <c r="X96" s="44">
        <f t="shared" si="160"/>
        <v>3344.17473477777</v>
      </c>
      <c r="Y96" s="76">
        <v>11984</v>
      </c>
      <c r="Z96" s="103">
        <f t="shared" si="161"/>
        <v>0.162346263008515</v>
      </c>
      <c r="AA96" s="44">
        <f t="shared" si="162"/>
        <v>2256.59124803521</v>
      </c>
      <c r="AB96" s="44">
        <v>23</v>
      </c>
      <c r="AC96" s="44">
        <f t="shared" ref="AC96:AC100" si="169">AB96/$AB$10*0.1*1254933</f>
        <v>7717.50240641711</v>
      </c>
      <c r="AD96" s="44"/>
      <c r="AE96" s="76">
        <f t="shared" si="167"/>
        <v>33063.84</v>
      </c>
      <c r="AF96" s="44">
        <f t="shared" si="168"/>
        <v>3444.12023041637</v>
      </c>
      <c r="AG96" s="44">
        <f>VLOOKUP(B:B,[2]Sheet2!$B:$E,4,0)</f>
        <v>23</v>
      </c>
      <c r="AH96" s="44">
        <f t="shared" si="163"/>
        <v>230.692076228686</v>
      </c>
      <c r="AI96" s="44"/>
      <c r="AJ96" s="115">
        <f>VLOOKUP(B:B,'[1]扶贫资金项目情况调度统计表 (2)'!$B:$I,8,0)</f>
        <v>0.696979623945388</v>
      </c>
      <c r="AK96" s="44">
        <f t="shared" si="164"/>
        <v>213.833216628935</v>
      </c>
      <c r="AL96" s="76">
        <v>95.33</v>
      </c>
      <c r="AM96" s="44">
        <f t="shared" si="165"/>
        <v>265.420013955139</v>
      </c>
      <c r="AN96" s="67">
        <f t="shared" si="166"/>
        <v>17472</v>
      </c>
      <c r="AO96" s="44" t="e">
        <f>#REF!*1254933/1408452</f>
        <v>#REF!</v>
      </c>
      <c r="AP96" s="44" t="e">
        <f t="shared" si="137"/>
        <v>#REF!</v>
      </c>
      <c r="AQ96" s="126" t="e">
        <f t="shared" si="138"/>
        <v>#REF!</v>
      </c>
      <c r="AR96" s="44">
        <v>660</v>
      </c>
      <c r="AS96" s="44">
        <v>163</v>
      </c>
      <c r="AT96" s="44">
        <v>0</v>
      </c>
      <c r="AU96" s="127">
        <f t="shared" si="153"/>
        <v>18295</v>
      </c>
    </row>
    <row r="97" ht="17" customHeight="1" spans="1:47">
      <c r="A97" s="31">
        <v>61</v>
      </c>
      <c r="B97" s="51" t="s">
        <v>142</v>
      </c>
      <c r="C97" s="31" t="s">
        <v>93</v>
      </c>
      <c r="D97" s="31">
        <v>2019</v>
      </c>
      <c r="E97" s="31" t="s">
        <v>94</v>
      </c>
      <c r="F97" s="31" t="s">
        <v>146</v>
      </c>
      <c r="G97" s="44">
        <v>17665</v>
      </c>
      <c r="H97" s="44"/>
      <c r="I97" s="44"/>
      <c r="J97" s="75">
        <v>83326</v>
      </c>
      <c r="K97" s="76">
        <f t="shared" si="147"/>
        <v>66660.8</v>
      </c>
      <c r="L97" s="76">
        <f t="shared" si="148"/>
        <v>0</v>
      </c>
      <c r="M97" s="76">
        <f t="shared" si="149"/>
        <v>0</v>
      </c>
      <c r="N97" s="76">
        <f t="shared" si="150"/>
        <v>0</v>
      </c>
      <c r="O97" s="76">
        <f t="shared" si="151"/>
        <v>66660.8</v>
      </c>
      <c r="P97" s="76">
        <f t="shared" si="152"/>
        <v>0</v>
      </c>
      <c r="Q97" s="44">
        <v>12893</v>
      </c>
      <c r="R97" s="76">
        <v>4689</v>
      </c>
      <c r="S97" s="76">
        <f t="shared" si="158"/>
        <v>3751.2</v>
      </c>
      <c r="T97" s="76"/>
      <c r="U97" s="76"/>
      <c r="V97" s="76">
        <f t="shared" si="159"/>
        <v>3751.2</v>
      </c>
      <c r="W97" s="76"/>
      <c r="X97" s="44">
        <f t="shared" si="160"/>
        <v>4724.63650971727</v>
      </c>
      <c r="Y97" s="76">
        <v>12054</v>
      </c>
      <c r="Z97" s="103">
        <f t="shared" si="161"/>
        <v>0.149101229895932</v>
      </c>
      <c r="AA97" s="44">
        <f t="shared" si="162"/>
        <v>2072.48706696008</v>
      </c>
      <c r="AB97" s="44">
        <v>12</v>
      </c>
      <c r="AC97" s="44">
        <f t="shared" si="169"/>
        <v>4026.52299465241</v>
      </c>
      <c r="AD97" s="44">
        <v>1800</v>
      </c>
      <c r="AE97" s="76">
        <f>K97</f>
        <v>66660.8</v>
      </c>
      <c r="AF97" s="44">
        <f t="shared" si="168"/>
        <v>6943.77331416253</v>
      </c>
      <c r="AG97" s="44">
        <f>VLOOKUP(B:B,[2]Sheet2!$B:$E,4,0)</f>
        <v>12</v>
      </c>
      <c r="AH97" s="44">
        <f t="shared" si="163"/>
        <v>120.361083249749</v>
      </c>
      <c r="AI97" s="44"/>
      <c r="AJ97" s="115">
        <f>VLOOKUP(B:B,'[1]扶贫资金项目情况调度统计表 (2)'!$B:$I,8,0)</f>
        <v>0.617225133738178</v>
      </c>
      <c r="AK97" s="44">
        <f t="shared" si="164"/>
        <v>189.36455413767</v>
      </c>
      <c r="AL97" s="76">
        <v>91.28</v>
      </c>
      <c r="AM97" s="44">
        <f t="shared" si="165"/>
        <v>254.143909302687</v>
      </c>
      <c r="AN97" s="67">
        <f t="shared" si="166"/>
        <v>20131</v>
      </c>
      <c r="AO97" s="44" t="e">
        <f>#REF!*1254933/1408452</f>
        <v>#REF!</v>
      </c>
      <c r="AP97" s="44" t="e">
        <f t="shared" si="137"/>
        <v>#REF!</v>
      </c>
      <c r="AQ97" s="126" t="e">
        <f t="shared" si="138"/>
        <v>#REF!</v>
      </c>
      <c r="AR97" s="44">
        <v>0</v>
      </c>
      <c r="AS97" s="44">
        <v>0</v>
      </c>
      <c r="AT97" s="44">
        <v>0</v>
      </c>
      <c r="AU97" s="127">
        <f t="shared" si="153"/>
        <v>20131</v>
      </c>
    </row>
    <row r="98" ht="17" customHeight="1" spans="1:47">
      <c r="A98" s="31">
        <v>62</v>
      </c>
      <c r="B98" s="51" t="s">
        <v>143</v>
      </c>
      <c r="C98" s="31" t="s">
        <v>90</v>
      </c>
      <c r="D98" s="31">
        <v>2019</v>
      </c>
      <c r="E98" s="31" t="s">
        <v>91</v>
      </c>
      <c r="F98" s="31"/>
      <c r="G98" s="44">
        <v>14340</v>
      </c>
      <c r="H98" s="44"/>
      <c r="I98" s="44"/>
      <c r="J98" s="75">
        <v>72985</v>
      </c>
      <c r="K98" s="76">
        <f t="shared" si="147"/>
        <v>58388</v>
      </c>
      <c r="L98" s="76">
        <f t="shared" si="148"/>
        <v>0</v>
      </c>
      <c r="M98" s="76">
        <f t="shared" si="149"/>
        <v>0</v>
      </c>
      <c r="N98" s="76">
        <f t="shared" si="150"/>
        <v>0</v>
      </c>
      <c r="O98" s="76">
        <f t="shared" si="151"/>
        <v>58388</v>
      </c>
      <c r="P98" s="76">
        <f t="shared" si="152"/>
        <v>0</v>
      </c>
      <c r="Q98" s="44">
        <v>9744</v>
      </c>
      <c r="R98" s="76">
        <v>3714</v>
      </c>
      <c r="S98" s="76">
        <f t="shared" si="158"/>
        <v>2971.2</v>
      </c>
      <c r="T98" s="76"/>
      <c r="U98" s="76"/>
      <c r="V98" s="76">
        <f t="shared" si="159"/>
        <v>2971.2</v>
      </c>
      <c r="W98" s="76"/>
      <c r="X98" s="44">
        <f t="shared" si="160"/>
        <v>4000.41228912756</v>
      </c>
      <c r="Y98" s="76">
        <v>12318</v>
      </c>
      <c r="Z98" s="103">
        <f t="shared" si="161"/>
        <v>0.0991485335856197</v>
      </c>
      <c r="AA98" s="44">
        <f t="shared" si="162"/>
        <v>1378.15129833386</v>
      </c>
      <c r="AB98" s="44"/>
      <c r="AC98" s="44"/>
      <c r="AD98" s="44"/>
      <c r="AE98" s="76">
        <f t="shared" si="167"/>
        <v>35032.8</v>
      </c>
      <c r="AF98" s="44">
        <f t="shared" si="168"/>
        <v>3649.21845763017</v>
      </c>
      <c r="AG98" s="44">
        <f>VLOOKUP(B:B,[2]Sheet2!$B:$E,4,0)</f>
        <v>6</v>
      </c>
      <c r="AH98" s="44">
        <f t="shared" si="163"/>
        <v>60.1805416248746</v>
      </c>
      <c r="AI98" s="44"/>
      <c r="AJ98" s="115">
        <f>VLOOKUP(B:B,'[1]扶贫资金项目情况调度统计表 (2)'!$B:$I,8,0)</f>
        <v>0.740704720445214</v>
      </c>
      <c r="AK98" s="44">
        <f t="shared" si="164"/>
        <v>227.248067954203</v>
      </c>
      <c r="AL98" s="76">
        <v>91.36</v>
      </c>
      <c r="AM98" s="44">
        <f t="shared" si="165"/>
        <v>254.366647172365</v>
      </c>
      <c r="AN98" s="67">
        <f t="shared" si="166"/>
        <v>9570</v>
      </c>
      <c r="AO98" s="44" t="e">
        <f>#REF!*1254933/1408452</f>
        <v>#REF!</v>
      </c>
      <c r="AP98" s="44" t="e">
        <f t="shared" si="137"/>
        <v>#REF!</v>
      </c>
      <c r="AQ98" s="126" t="e">
        <f t="shared" si="138"/>
        <v>#REF!</v>
      </c>
      <c r="AR98" s="44">
        <v>500</v>
      </c>
      <c r="AS98" s="44">
        <v>0</v>
      </c>
      <c r="AT98" s="44">
        <v>82</v>
      </c>
      <c r="AU98" s="127">
        <f t="shared" si="153"/>
        <v>10152</v>
      </c>
    </row>
    <row r="99" s="7" customFormat="1" ht="17" customHeight="1" spans="1:47">
      <c r="A99" s="47">
        <v>63</v>
      </c>
      <c r="B99" s="131" t="s">
        <v>144</v>
      </c>
      <c r="C99" s="47" t="s">
        <v>93</v>
      </c>
      <c r="D99" s="47">
        <v>2020</v>
      </c>
      <c r="E99" s="47" t="s">
        <v>94</v>
      </c>
      <c r="F99" s="47"/>
      <c r="G99" s="44">
        <v>36795</v>
      </c>
      <c r="H99" s="44"/>
      <c r="I99" s="44"/>
      <c r="J99" s="132">
        <v>140758</v>
      </c>
      <c r="K99" s="78">
        <f t="shared" si="147"/>
        <v>140758</v>
      </c>
      <c r="L99" s="78">
        <f t="shared" si="148"/>
        <v>0</v>
      </c>
      <c r="M99" s="78">
        <f t="shared" si="149"/>
        <v>0</v>
      </c>
      <c r="N99" s="78">
        <f t="shared" si="150"/>
        <v>0</v>
      </c>
      <c r="O99" s="78">
        <f t="shared" si="151"/>
        <v>0</v>
      </c>
      <c r="P99" s="78">
        <f t="shared" si="152"/>
        <v>140758</v>
      </c>
      <c r="Q99" s="49">
        <v>20728</v>
      </c>
      <c r="R99" s="78">
        <v>9715</v>
      </c>
      <c r="S99" s="78">
        <f t="shared" si="158"/>
        <v>7772</v>
      </c>
      <c r="T99" s="78"/>
      <c r="U99" s="78"/>
      <c r="V99" s="78">
        <f t="shared" si="159"/>
        <v>7772</v>
      </c>
      <c r="W99" s="78"/>
      <c r="X99" s="49">
        <f t="shared" si="160"/>
        <v>9476.92683628932</v>
      </c>
      <c r="Y99" s="78">
        <v>11435</v>
      </c>
      <c r="Z99" s="133">
        <f t="shared" si="161"/>
        <v>0.266225165562914</v>
      </c>
      <c r="AA99" s="49">
        <f t="shared" si="162"/>
        <v>3700.49403961019</v>
      </c>
      <c r="AB99" s="49"/>
      <c r="AC99" s="49"/>
      <c r="AD99" s="49">
        <v>1800</v>
      </c>
      <c r="AE99" s="78">
        <f>K99</f>
        <v>140758</v>
      </c>
      <c r="AF99" s="49">
        <f t="shared" si="168"/>
        <v>14662.1649328374</v>
      </c>
      <c r="AG99" s="49">
        <f>VLOOKUP(B:B,[2]Sheet2!$B:$E,4,0)</f>
        <v>5</v>
      </c>
      <c r="AH99" s="49">
        <f t="shared" si="163"/>
        <v>50.1504513540622</v>
      </c>
      <c r="AI99" s="49"/>
      <c r="AJ99" s="117">
        <f>VLOOKUP(B:B,'[1]扶贫资金项目情况调度统计表 (2)'!$B:$I,8,0)</f>
        <v>0.654144917048814</v>
      </c>
      <c r="AK99" s="49">
        <f t="shared" si="164"/>
        <v>200.691536665318</v>
      </c>
      <c r="AL99" s="78">
        <v>92.49</v>
      </c>
      <c r="AM99" s="49">
        <f t="shared" si="165"/>
        <v>257.512819581568</v>
      </c>
      <c r="AN99" s="70">
        <f t="shared" si="166"/>
        <v>30148</v>
      </c>
      <c r="AO99" s="44" t="e">
        <f>#REF!*1254933/1408452</f>
        <v>#REF!</v>
      </c>
      <c r="AP99" s="49" t="e">
        <f t="shared" si="137"/>
        <v>#REF!</v>
      </c>
      <c r="AQ99" s="134" t="e">
        <f t="shared" si="138"/>
        <v>#REF!</v>
      </c>
      <c r="AR99" s="49">
        <v>500</v>
      </c>
      <c r="AS99" s="49">
        <v>165</v>
      </c>
      <c r="AT99" s="49">
        <v>96</v>
      </c>
      <c r="AU99" s="127">
        <f t="shared" si="153"/>
        <v>30909</v>
      </c>
    </row>
    <row r="100" ht="17" customHeight="1" spans="1:47">
      <c r="A100" s="31">
        <v>64</v>
      </c>
      <c r="B100" s="51" t="s">
        <v>145</v>
      </c>
      <c r="C100" s="31" t="s">
        <v>90</v>
      </c>
      <c r="D100" s="31">
        <v>2019</v>
      </c>
      <c r="E100" s="31" t="s">
        <v>91</v>
      </c>
      <c r="F100" s="31" t="s">
        <v>146</v>
      </c>
      <c r="G100" s="44">
        <v>11771</v>
      </c>
      <c r="H100" s="44"/>
      <c r="I100" s="44"/>
      <c r="J100" s="75">
        <v>61080</v>
      </c>
      <c r="K100" s="76">
        <f t="shared" si="147"/>
        <v>48864</v>
      </c>
      <c r="L100" s="76">
        <f t="shared" si="148"/>
        <v>0</v>
      </c>
      <c r="M100" s="76">
        <f t="shared" si="149"/>
        <v>0</v>
      </c>
      <c r="N100" s="76">
        <f t="shared" si="150"/>
        <v>0</v>
      </c>
      <c r="O100" s="76">
        <f t="shared" si="151"/>
        <v>48864</v>
      </c>
      <c r="P100" s="76">
        <f t="shared" si="152"/>
        <v>0</v>
      </c>
      <c r="Q100" s="44">
        <v>3870</v>
      </c>
      <c r="R100" s="76">
        <v>5009</v>
      </c>
      <c r="S100" s="76">
        <f t="shared" si="158"/>
        <v>4007.2</v>
      </c>
      <c r="T100" s="76"/>
      <c r="U100" s="76"/>
      <c r="V100" s="76">
        <f t="shared" si="159"/>
        <v>4007.2</v>
      </c>
      <c r="W100" s="76"/>
      <c r="X100" s="44">
        <f t="shared" si="160"/>
        <v>3127.6361536062</v>
      </c>
      <c r="Y100" s="76">
        <v>12453</v>
      </c>
      <c r="Z100" s="103">
        <f t="shared" si="161"/>
        <v>0.07360454115421</v>
      </c>
      <c r="AA100" s="44">
        <f t="shared" si="162"/>
        <v>1023.09323483181</v>
      </c>
      <c r="AB100" s="44">
        <v>7</v>
      </c>
      <c r="AC100" s="44">
        <f t="shared" si="169"/>
        <v>2348.8050802139</v>
      </c>
      <c r="AD100" s="44"/>
      <c r="AE100" s="76">
        <f>K100*0.6</f>
        <v>29318.4</v>
      </c>
      <c r="AF100" s="44">
        <f t="shared" si="168"/>
        <v>3053.97360268618</v>
      </c>
      <c r="AG100" s="44">
        <f>VLOOKUP(B:B,[2]Sheet2!$B:$E,4,0)</f>
        <v>7</v>
      </c>
      <c r="AH100" s="44">
        <f t="shared" si="163"/>
        <v>70.2106318956871</v>
      </c>
      <c r="AI100" s="44"/>
      <c r="AJ100" s="115">
        <f>VLOOKUP(B:B,'[1]扶贫资金项目情况调度统计表 (2)'!$B:$I,8,0)</f>
        <v>0.576919981524382</v>
      </c>
      <c r="AK100" s="44">
        <f t="shared" si="164"/>
        <v>176.99894107167</v>
      </c>
      <c r="AL100" s="76">
        <v>93.89</v>
      </c>
      <c r="AM100" s="44">
        <f t="shared" si="165"/>
        <v>261.410732300934</v>
      </c>
      <c r="AN100" s="67">
        <f t="shared" si="166"/>
        <v>10062</v>
      </c>
      <c r="AO100" s="44" t="e">
        <f>#REF!*1254933/1408452</f>
        <v>#REF!</v>
      </c>
      <c r="AP100" s="44" t="e">
        <f t="shared" si="137"/>
        <v>#REF!</v>
      </c>
      <c r="AQ100" s="126" t="e">
        <f t="shared" si="138"/>
        <v>#REF!</v>
      </c>
      <c r="AR100" s="44">
        <v>495</v>
      </c>
      <c r="AS100" s="44">
        <v>0</v>
      </c>
      <c r="AT100" s="44">
        <v>88</v>
      </c>
      <c r="AU100" s="127">
        <f t="shared" si="153"/>
        <v>10645</v>
      </c>
    </row>
    <row r="101" s="6" customFormat="1" ht="17" customHeight="1" spans="1:85">
      <c r="A101" s="39"/>
      <c r="B101" s="40" t="s">
        <v>147</v>
      </c>
      <c r="C101" s="41">
        <v>1</v>
      </c>
      <c r="D101" s="41"/>
      <c r="E101" s="41"/>
      <c r="F101" s="41"/>
      <c r="G101" s="43">
        <v>109043</v>
      </c>
      <c r="H101" s="43">
        <f>H102+H103</f>
        <v>0</v>
      </c>
      <c r="I101" s="43">
        <f>I102+I103</f>
        <v>0</v>
      </c>
      <c r="J101" s="54">
        <f t="shared" ref="J101:X101" si="170">J102+J103</f>
        <v>553461</v>
      </c>
      <c r="K101" s="77">
        <f t="shared" si="170"/>
        <v>438757</v>
      </c>
      <c r="L101" s="77">
        <f t="shared" si="170"/>
        <v>3311.2</v>
      </c>
      <c r="M101" s="77">
        <f t="shared" si="170"/>
        <v>5276</v>
      </c>
      <c r="N101" s="77">
        <f t="shared" si="170"/>
        <v>84178.8</v>
      </c>
      <c r="O101" s="77">
        <f t="shared" si="170"/>
        <v>149704</v>
      </c>
      <c r="P101" s="77">
        <f t="shared" si="170"/>
        <v>196287</v>
      </c>
      <c r="Q101" s="43">
        <v>81093</v>
      </c>
      <c r="R101" s="77">
        <f t="shared" si="170"/>
        <v>81805</v>
      </c>
      <c r="S101" s="77">
        <f t="shared" si="170"/>
        <v>76734.8</v>
      </c>
      <c r="T101" s="77">
        <f t="shared" si="170"/>
        <v>172.8</v>
      </c>
      <c r="U101" s="77">
        <f t="shared" si="170"/>
        <v>1729.2</v>
      </c>
      <c r="V101" s="77">
        <f t="shared" si="170"/>
        <v>14632.8</v>
      </c>
      <c r="W101" s="77">
        <f t="shared" si="170"/>
        <v>60200</v>
      </c>
      <c r="X101" s="43">
        <f t="shared" si="170"/>
        <v>34322.0613918338</v>
      </c>
      <c r="Y101" s="77"/>
      <c r="Z101" s="104">
        <f t="shared" ref="Z101:AD101" si="171">Z102+Z103</f>
        <v>0.898202459791864</v>
      </c>
      <c r="AA101" s="43">
        <f t="shared" si="171"/>
        <v>12484.8935366237</v>
      </c>
      <c r="AB101" s="43">
        <v>44</v>
      </c>
      <c r="AC101" s="43">
        <f t="shared" si="171"/>
        <v>14763.9176470588</v>
      </c>
      <c r="AD101" s="43">
        <f t="shared" si="171"/>
        <v>1800</v>
      </c>
      <c r="AE101" s="54">
        <f t="shared" ref="AE101:AI101" si="172">AE102+AE103</f>
        <v>306960.6</v>
      </c>
      <c r="AF101" s="43">
        <f t="shared" si="172"/>
        <v>31974.7861228686</v>
      </c>
      <c r="AG101" s="43">
        <f t="shared" si="172"/>
        <v>70</v>
      </c>
      <c r="AH101" s="43">
        <f t="shared" si="172"/>
        <v>702.106318956871</v>
      </c>
      <c r="AI101" s="43">
        <f t="shared" si="172"/>
        <v>0</v>
      </c>
      <c r="AJ101" s="118"/>
      <c r="AK101" s="43">
        <f t="shared" ref="AK101:AO101" si="173">AK102+AK103</f>
        <v>2189.15962942736</v>
      </c>
      <c r="AL101" s="54">
        <f t="shared" si="173"/>
        <v>890.99</v>
      </c>
      <c r="AM101" s="43">
        <f t="shared" si="173"/>
        <v>2480.71518130588</v>
      </c>
      <c r="AN101" s="119">
        <f t="shared" si="173"/>
        <v>100718</v>
      </c>
      <c r="AO101" s="43" t="e">
        <f t="shared" si="173"/>
        <v>#REF!</v>
      </c>
      <c r="AP101" s="86" t="e">
        <f t="shared" si="137"/>
        <v>#REF!</v>
      </c>
      <c r="AQ101" s="125" t="e">
        <f t="shared" si="138"/>
        <v>#REF!</v>
      </c>
      <c r="AR101" s="43">
        <v>3318</v>
      </c>
      <c r="AS101" s="43">
        <v>357</v>
      </c>
      <c r="AT101" s="43">
        <v>0</v>
      </c>
      <c r="AU101" s="43">
        <f>AU102+AU103</f>
        <v>104393</v>
      </c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</row>
    <row r="102" ht="17" customHeight="1" spans="1:47">
      <c r="A102" s="29"/>
      <c r="B102" s="30" t="s">
        <v>148</v>
      </c>
      <c r="C102" s="31">
        <v>2</v>
      </c>
      <c r="D102" s="31"/>
      <c r="E102" s="31"/>
      <c r="F102" s="31"/>
      <c r="G102" s="44">
        <v>3509</v>
      </c>
      <c r="H102" s="44"/>
      <c r="I102" s="44"/>
      <c r="J102" s="75"/>
      <c r="K102" s="76">
        <f t="shared" ref="K102:K113" si="174">SUM(L102:P102)</f>
        <v>0</v>
      </c>
      <c r="L102" s="76">
        <f t="shared" ref="L102:L113" si="175">IF(D102="",J102*0.2,0)</f>
        <v>0</v>
      </c>
      <c r="M102" s="76">
        <f t="shared" ref="M102:M113" si="176">IF(D102=2017,J102*0.4,0)</f>
        <v>0</v>
      </c>
      <c r="N102" s="76">
        <f t="shared" ref="N102:N113" si="177">IF(D102=2018,J102*0.6,0)</f>
        <v>0</v>
      </c>
      <c r="O102" s="76">
        <f t="shared" ref="O102:O113" si="178">IF(D102=2019,J102*0.8,0)</f>
        <v>0</v>
      </c>
      <c r="P102" s="76">
        <f t="shared" ref="P102:P113" si="179">IF(D102=2020,J102*1,0)</f>
        <v>0</v>
      </c>
      <c r="Q102" s="44"/>
      <c r="R102" s="76"/>
      <c r="S102" s="76">
        <f>O102*0.4+P102*0.6+Q102*0.8+R102*1</f>
        <v>0</v>
      </c>
      <c r="T102" s="76">
        <f>R102-U102-V102-W102</f>
        <v>0</v>
      </c>
      <c r="U102" s="76"/>
      <c r="V102" s="76"/>
      <c r="W102" s="76"/>
      <c r="X102" s="44"/>
      <c r="Y102" s="76"/>
      <c r="Z102" s="103"/>
      <c r="AA102" s="44"/>
      <c r="AB102" s="44"/>
      <c r="AC102" s="44"/>
      <c r="AD102" s="44"/>
      <c r="AE102" s="76"/>
      <c r="AF102" s="44"/>
      <c r="AG102" s="44"/>
      <c r="AH102" s="44"/>
      <c r="AI102" s="44"/>
      <c r="AJ102" s="115"/>
      <c r="AK102" s="44"/>
      <c r="AL102" s="76"/>
      <c r="AM102" s="44"/>
      <c r="AN102" s="44"/>
      <c r="AO102" s="44"/>
      <c r="AP102" s="86">
        <f t="shared" si="137"/>
        <v>0</v>
      </c>
      <c r="AQ102" s="125"/>
      <c r="AR102" s="44"/>
      <c r="AS102" s="44"/>
      <c r="AT102" s="44"/>
      <c r="AU102" s="127">
        <f t="shared" ref="AU102:AU113" si="180">AT102+AS102+AR102+AN102</f>
        <v>0</v>
      </c>
    </row>
    <row r="103" s="7" customFormat="1" ht="17" customHeight="1" spans="1:85">
      <c r="A103" s="45"/>
      <c r="B103" s="46" t="s">
        <v>76</v>
      </c>
      <c r="C103" s="47">
        <v>3</v>
      </c>
      <c r="D103" s="47"/>
      <c r="E103" s="47"/>
      <c r="F103" s="47"/>
      <c r="G103" s="49">
        <v>105534</v>
      </c>
      <c r="H103" s="49">
        <f>SUM(H104:H113)</f>
        <v>0</v>
      </c>
      <c r="I103" s="49">
        <f>SUM(I104:I113)</f>
        <v>0</v>
      </c>
      <c r="J103" s="55">
        <f t="shared" ref="J103:X103" si="181">SUM(J104:J113)</f>
        <v>553461</v>
      </c>
      <c r="K103" s="78">
        <f t="shared" si="181"/>
        <v>438757</v>
      </c>
      <c r="L103" s="78">
        <f t="shared" si="181"/>
        <v>3311.2</v>
      </c>
      <c r="M103" s="78">
        <f t="shared" si="181"/>
        <v>5276</v>
      </c>
      <c r="N103" s="78">
        <f t="shared" si="181"/>
        <v>84178.8</v>
      </c>
      <c r="O103" s="78">
        <f t="shared" si="181"/>
        <v>149704</v>
      </c>
      <c r="P103" s="78">
        <f t="shared" si="181"/>
        <v>196287</v>
      </c>
      <c r="Q103" s="49">
        <v>81093</v>
      </c>
      <c r="R103" s="78">
        <f t="shared" si="181"/>
        <v>81805</v>
      </c>
      <c r="S103" s="78">
        <f t="shared" si="181"/>
        <v>76734.8</v>
      </c>
      <c r="T103" s="78">
        <f t="shared" si="181"/>
        <v>172.8</v>
      </c>
      <c r="U103" s="78">
        <f t="shared" si="181"/>
        <v>1729.2</v>
      </c>
      <c r="V103" s="78">
        <f t="shared" si="181"/>
        <v>14632.8</v>
      </c>
      <c r="W103" s="78">
        <f t="shared" si="181"/>
        <v>60200</v>
      </c>
      <c r="X103" s="49">
        <f t="shared" si="181"/>
        <v>34322.0613918338</v>
      </c>
      <c r="Y103" s="78"/>
      <c r="Z103" s="105">
        <f t="shared" ref="Z103:AD103" si="182">SUM(Z104:Z113)</f>
        <v>0.898202459791864</v>
      </c>
      <c r="AA103" s="49">
        <f t="shared" si="182"/>
        <v>12484.8935366237</v>
      </c>
      <c r="AB103" s="49">
        <v>44</v>
      </c>
      <c r="AC103" s="49">
        <f t="shared" si="182"/>
        <v>14763.9176470588</v>
      </c>
      <c r="AD103" s="49">
        <f t="shared" si="182"/>
        <v>1800</v>
      </c>
      <c r="AE103" s="55">
        <f t="shared" ref="AE103:AI103" si="183">SUM(AE104:AE113)</f>
        <v>306960.6</v>
      </c>
      <c r="AF103" s="49">
        <f t="shared" si="183"/>
        <v>31974.7861228686</v>
      </c>
      <c r="AG103" s="49">
        <f t="shared" si="183"/>
        <v>70</v>
      </c>
      <c r="AH103" s="49">
        <f t="shared" si="183"/>
        <v>702.106318956871</v>
      </c>
      <c r="AI103" s="49">
        <f t="shared" si="183"/>
        <v>0</v>
      </c>
      <c r="AJ103" s="120"/>
      <c r="AK103" s="49">
        <f t="shared" ref="AK103:AO103" si="184">SUM(AK104:AK113)</f>
        <v>2189.15962942736</v>
      </c>
      <c r="AL103" s="55">
        <f t="shared" si="184"/>
        <v>890.99</v>
      </c>
      <c r="AM103" s="49">
        <f t="shared" si="184"/>
        <v>2480.71518130588</v>
      </c>
      <c r="AN103" s="121">
        <f t="shared" si="184"/>
        <v>100718</v>
      </c>
      <c r="AO103" s="49" t="e">
        <f t="shared" si="184"/>
        <v>#REF!</v>
      </c>
      <c r="AP103" s="86" t="e">
        <f t="shared" si="137"/>
        <v>#REF!</v>
      </c>
      <c r="AQ103" s="125" t="e">
        <f t="shared" si="138"/>
        <v>#REF!</v>
      </c>
      <c r="AR103" s="49">
        <v>3318</v>
      </c>
      <c r="AS103" s="49">
        <v>357</v>
      </c>
      <c r="AT103" s="49">
        <v>0</v>
      </c>
      <c r="AU103" s="49">
        <f>SUM(AU104:AU113)</f>
        <v>104393</v>
      </c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</row>
    <row r="104" ht="17" customHeight="1" spans="1:47">
      <c r="A104" s="31">
        <v>65</v>
      </c>
      <c r="B104" s="51" t="s">
        <v>149</v>
      </c>
      <c r="C104" s="31" t="s">
        <v>78</v>
      </c>
      <c r="D104" s="31"/>
      <c r="E104" s="31"/>
      <c r="F104" s="31"/>
      <c r="G104" s="44">
        <v>3046</v>
      </c>
      <c r="H104" s="44"/>
      <c r="I104" s="44"/>
      <c r="J104" s="75">
        <v>16556</v>
      </c>
      <c r="K104" s="76">
        <f t="shared" si="174"/>
        <v>3311.2</v>
      </c>
      <c r="L104" s="76">
        <f t="shared" si="175"/>
        <v>3311.2</v>
      </c>
      <c r="M104" s="76">
        <f t="shared" si="176"/>
        <v>0</v>
      </c>
      <c r="N104" s="76">
        <f t="shared" si="177"/>
        <v>0</v>
      </c>
      <c r="O104" s="76">
        <f t="shared" si="178"/>
        <v>0</v>
      </c>
      <c r="P104" s="76">
        <f t="shared" si="179"/>
        <v>0</v>
      </c>
      <c r="Q104" s="44">
        <v>1011</v>
      </c>
      <c r="R104" s="76">
        <v>1715</v>
      </c>
      <c r="S104" s="76">
        <f t="shared" ref="S104:S113" si="185">T104+U104+V104+W104</f>
        <v>1029</v>
      </c>
      <c r="T104" s="76"/>
      <c r="U104" s="76">
        <f>R104*0.6</f>
        <v>1029</v>
      </c>
      <c r="V104" s="76"/>
      <c r="W104" s="76"/>
      <c r="X104" s="44">
        <f t="shared" ref="X104:X113" si="186">(K104/$K$10*0.2+Q104/$Q$10*0.05+S104/$S$10*0.05)*1254933</f>
        <v>319.409083223793</v>
      </c>
      <c r="Y104" s="76">
        <v>13236</v>
      </c>
      <c r="Z104" s="103">
        <f t="shared" ref="Z104:Z113" si="187">IF(Y104&lt;12842,(12842-Y104)/(12842-$Y$176),0)</f>
        <v>0</v>
      </c>
      <c r="AA104" s="44">
        <f t="shared" ref="AA104:AA113" si="188">(Z104/$Z$10*0.2)*1254933</f>
        <v>0</v>
      </c>
      <c r="AB104" s="44"/>
      <c r="AC104" s="44"/>
      <c r="AD104" s="44"/>
      <c r="AE104" s="76"/>
      <c r="AF104" s="44"/>
      <c r="AG104" s="44">
        <f>VLOOKUP(B:B,[2]Sheet2!$B:$E,4,0)</f>
        <v>5</v>
      </c>
      <c r="AH104" s="44">
        <f t="shared" ref="AH104:AH113" si="189">AG104/$AG$10*10000</f>
        <v>50.1504513540622</v>
      </c>
      <c r="AI104" s="44"/>
      <c r="AJ104" s="115">
        <f>VLOOKUP(B:B,'[1]扶贫资金项目情况调度统计表 (2)'!$B:$I,8,0)</f>
        <v>0.668250101055522</v>
      </c>
      <c r="AK104" s="44">
        <f t="shared" ref="AK104:AK113" si="190">AJ104/$AJ$10*0.025*1254933</f>
        <v>205.019004447266</v>
      </c>
      <c r="AL104" s="76">
        <v>85.65</v>
      </c>
      <c r="AM104" s="44">
        <f t="shared" ref="AM104:AM113" si="191">(AL104/$AL$10)*0.025*1254933</f>
        <v>238.468731724092</v>
      </c>
      <c r="AN104" s="67">
        <f t="shared" ref="AN104:AN113" si="192">ROUND(AM104+AK104+AI104+AF104+AH104+AD104+AC104+AA104+X104,0)</f>
        <v>813</v>
      </c>
      <c r="AO104" s="44" t="e">
        <f>#REF!*1254933/1408452</f>
        <v>#REF!</v>
      </c>
      <c r="AP104" s="44" t="e">
        <f t="shared" si="137"/>
        <v>#REF!</v>
      </c>
      <c r="AQ104" s="126" t="e">
        <f t="shared" si="138"/>
        <v>#REF!</v>
      </c>
      <c r="AR104" s="44">
        <v>0</v>
      </c>
      <c r="AS104" s="44">
        <v>0</v>
      </c>
      <c r="AT104" s="44">
        <v>0</v>
      </c>
      <c r="AU104" s="127">
        <f t="shared" si="180"/>
        <v>813</v>
      </c>
    </row>
    <row r="105" ht="17" customHeight="1" spans="1:47">
      <c r="A105" s="31">
        <v>66</v>
      </c>
      <c r="B105" s="51" t="s">
        <v>150</v>
      </c>
      <c r="C105" s="31" t="s">
        <v>90</v>
      </c>
      <c r="D105" s="31">
        <v>2017</v>
      </c>
      <c r="E105" s="31"/>
      <c r="F105" s="31"/>
      <c r="G105" s="44">
        <v>4173</v>
      </c>
      <c r="H105" s="44"/>
      <c r="I105" s="44"/>
      <c r="J105" s="75">
        <v>13190</v>
      </c>
      <c r="K105" s="76">
        <f t="shared" si="174"/>
        <v>5276</v>
      </c>
      <c r="L105" s="76">
        <f t="shared" si="175"/>
        <v>0</v>
      </c>
      <c r="M105" s="76">
        <f t="shared" si="176"/>
        <v>5276</v>
      </c>
      <c r="N105" s="76">
        <f t="shared" si="177"/>
        <v>0</v>
      </c>
      <c r="O105" s="76">
        <f t="shared" si="178"/>
        <v>0</v>
      </c>
      <c r="P105" s="76">
        <f t="shared" si="179"/>
        <v>0</v>
      </c>
      <c r="Q105" s="44">
        <v>4350</v>
      </c>
      <c r="R105" s="76">
        <v>1167</v>
      </c>
      <c r="S105" s="76">
        <f t="shared" si="185"/>
        <v>700.2</v>
      </c>
      <c r="T105" s="76"/>
      <c r="U105" s="76">
        <f>R105*0.6</f>
        <v>700.2</v>
      </c>
      <c r="V105" s="76"/>
      <c r="W105" s="76"/>
      <c r="X105" s="44">
        <f t="shared" si="186"/>
        <v>651.948178305251</v>
      </c>
      <c r="Y105" s="76">
        <v>12949</v>
      </c>
      <c r="Z105" s="103">
        <f t="shared" si="187"/>
        <v>0</v>
      </c>
      <c r="AA105" s="44">
        <f t="shared" si="188"/>
        <v>0</v>
      </c>
      <c r="AB105" s="44"/>
      <c r="AC105" s="44"/>
      <c r="AD105" s="44"/>
      <c r="AE105" s="76"/>
      <c r="AF105" s="44"/>
      <c r="AG105" s="44">
        <f>VLOOKUP(B:B,[2]Sheet2!$B:$E,4,0)</f>
        <v>3</v>
      </c>
      <c r="AH105" s="44">
        <f t="shared" si="189"/>
        <v>30.0902708124373</v>
      </c>
      <c r="AI105" s="44"/>
      <c r="AJ105" s="115">
        <f>VLOOKUP(B:B,'[1]扶贫资金项目情况调度统计表 (2)'!$B:$I,8,0)</f>
        <v>0.801034430427772</v>
      </c>
      <c r="AK105" s="44">
        <f t="shared" si="190"/>
        <v>245.757211551307</v>
      </c>
      <c r="AL105" s="76">
        <v>91.07</v>
      </c>
      <c r="AM105" s="44">
        <f t="shared" si="191"/>
        <v>253.559222394782</v>
      </c>
      <c r="AN105" s="67">
        <f t="shared" si="192"/>
        <v>1181</v>
      </c>
      <c r="AO105" s="44" t="e">
        <f>#REF!*1254933/1408452</f>
        <v>#REF!</v>
      </c>
      <c r="AP105" s="44" t="e">
        <f t="shared" si="137"/>
        <v>#REF!</v>
      </c>
      <c r="AQ105" s="126" t="e">
        <f t="shared" si="138"/>
        <v>#REF!</v>
      </c>
      <c r="AR105" s="44">
        <v>0</v>
      </c>
      <c r="AS105" s="44">
        <v>0</v>
      </c>
      <c r="AT105" s="44">
        <v>0</v>
      </c>
      <c r="AU105" s="127">
        <f t="shared" si="180"/>
        <v>1181</v>
      </c>
    </row>
    <row r="106" ht="17" customHeight="1" spans="1:47">
      <c r="A106" s="31">
        <v>67</v>
      </c>
      <c r="B106" s="51" t="s">
        <v>151</v>
      </c>
      <c r="C106" s="31" t="s">
        <v>90</v>
      </c>
      <c r="D106" s="31">
        <v>2019</v>
      </c>
      <c r="E106" s="31" t="s">
        <v>91</v>
      </c>
      <c r="F106" s="31"/>
      <c r="G106" s="44">
        <v>15587</v>
      </c>
      <c r="H106" s="44"/>
      <c r="I106" s="44"/>
      <c r="J106" s="75">
        <v>91117</v>
      </c>
      <c r="K106" s="76">
        <f t="shared" si="174"/>
        <v>72893.6</v>
      </c>
      <c r="L106" s="76">
        <f t="shared" si="175"/>
        <v>0</v>
      </c>
      <c r="M106" s="76">
        <f t="shared" si="176"/>
        <v>0</v>
      </c>
      <c r="N106" s="76">
        <f t="shared" si="177"/>
        <v>0</v>
      </c>
      <c r="O106" s="76">
        <f t="shared" si="178"/>
        <v>72893.6</v>
      </c>
      <c r="P106" s="76">
        <f t="shared" si="179"/>
        <v>0</v>
      </c>
      <c r="Q106" s="44">
        <v>11458</v>
      </c>
      <c r="R106" s="76">
        <v>17710</v>
      </c>
      <c r="S106" s="76">
        <f t="shared" si="185"/>
        <v>17710</v>
      </c>
      <c r="T106" s="76"/>
      <c r="U106" s="76"/>
      <c r="V106" s="76"/>
      <c r="W106" s="76">
        <f t="shared" ref="W106:W108" si="193">R106*1</f>
        <v>17710</v>
      </c>
      <c r="X106" s="44">
        <f t="shared" si="186"/>
        <v>5884.88392468454</v>
      </c>
      <c r="Y106" s="76">
        <v>12142</v>
      </c>
      <c r="Z106" s="103">
        <f t="shared" si="187"/>
        <v>0.132450331125828</v>
      </c>
      <c r="AA106" s="44">
        <f t="shared" si="188"/>
        <v>1841.04181075134</v>
      </c>
      <c r="AB106" s="44"/>
      <c r="AC106" s="44"/>
      <c r="AD106" s="44"/>
      <c r="AE106" s="76">
        <f t="shared" ref="AE106:AE110" si="194">K106*0.6</f>
        <v>43736.16</v>
      </c>
      <c r="AF106" s="44">
        <f t="shared" ref="AF106:AF113" si="195">AE106/$AE$10*372626.55</f>
        <v>4555.81062141383</v>
      </c>
      <c r="AG106" s="44">
        <f>VLOOKUP(B:B,[2]Sheet2!$B:$E,4,0)</f>
        <v>4</v>
      </c>
      <c r="AH106" s="44">
        <f t="shared" si="189"/>
        <v>40.1203610832497</v>
      </c>
      <c r="AI106" s="44"/>
      <c r="AJ106" s="115">
        <f>VLOOKUP(B:B,'[1]扶贫资金项目情况调度统计表 (2)'!$B:$I,8,0)</f>
        <v>0.70016413312459</v>
      </c>
      <c r="AK106" s="44">
        <f t="shared" si="190"/>
        <v>214.810223442016</v>
      </c>
      <c r="AL106" s="76">
        <v>92.31</v>
      </c>
      <c r="AM106" s="44">
        <f t="shared" si="191"/>
        <v>257.011659374792</v>
      </c>
      <c r="AN106" s="67">
        <f t="shared" si="192"/>
        <v>12794</v>
      </c>
      <c r="AO106" s="44" t="e">
        <f>#REF!*1254933/1408452</f>
        <v>#REF!</v>
      </c>
      <c r="AP106" s="44" t="e">
        <f t="shared" si="137"/>
        <v>#REF!</v>
      </c>
      <c r="AQ106" s="126" t="e">
        <f t="shared" si="138"/>
        <v>#REF!</v>
      </c>
      <c r="AR106" s="44">
        <v>503</v>
      </c>
      <c r="AS106" s="44">
        <v>0</v>
      </c>
      <c r="AT106" s="44">
        <v>0</v>
      </c>
      <c r="AU106" s="127">
        <f t="shared" si="180"/>
        <v>13297</v>
      </c>
    </row>
    <row r="107" ht="17" customHeight="1" spans="1:47">
      <c r="A107" s="31">
        <v>68</v>
      </c>
      <c r="B107" s="51" t="s">
        <v>153</v>
      </c>
      <c r="C107" s="31" t="s">
        <v>90</v>
      </c>
      <c r="D107" s="31">
        <v>2018</v>
      </c>
      <c r="E107" s="31"/>
      <c r="F107" s="31"/>
      <c r="G107" s="44">
        <v>6511</v>
      </c>
      <c r="H107" s="44"/>
      <c r="I107" s="44"/>
      <c r="J107" s="75">
        <v>49007</v>
      </c>
      <c r="K107" s="76">
        <f t="shared" si="174"/>
        <v>29404.2</v>
      </c>
      <c r="L107" s="76">
        <f t="shared" si="175"/>
        <v>0</v>
      </c>
      <c r="M107" s="76">
        <f t="shared" si="176"/>
        <v>0</v>
      </c>
      <c r="N107" s="76">
        <f t="shared" si="177"/>
        <v>29404.2</v>
      </c>
      <c r="O107" s="76">
        <f t="shared" si="178"/>
        <v>0</v>
      </c>
      <c r="P107" s="76">
        <f t="shared" si="179"/>
        <v>0</v>
      </c>
      <c r="Q107" s="44">
        <v>8606</v>
      </c>
      <c r="R107" s="76">
        <v>14292</v>
      </c>
      <c r="S107" s="76">
        <f t="shared" si="185"/>
        <v>14292</v>
      </c>
      <c r="T107" s="76"/>
      <c r="U107" s="76"/>
      <c r="V107" s="76"/>
      <c r="W107" s="76">
        <f t="shared" si="193"/>
        <v>14292</v>
      </c>
      <c r="X107" s="44">
        <f t="shared" si="186"/>
        <v>3155.88818536806</v>
      </c>
      <c r="Y107" s="76">
        <v>13143</v>
      </c>
      <c r="Z107" s="103">
        <f t="shared" si="187"/>
        <v>0</v>
      </c>
      <c r="AA107" s="44">
        <f t="shared" si="188"/>
        <v>0</v>
      </c>
      <c r="AB107" s="44"/>
      <c r="AC107" s="44"/>
      <c r="AD107" s="44"/>
      <c r="AE107" s="76"/>
      <c r="AF107" s="44"/>
      <c r="AG107" s="44">
        <f>VLOOKUP(B:B,[2]Sheet2!$B:$E,4,0)</f>
        <v>5</v>
      </c>
      <c r="AH107" s="44">
        <f t="shared" si="189"/>
        <v>50.1504513540622</v>
      </c>
      <c r="AI107" s="44"/>
      <c r="AJ107" s="115">
        <f>VLOOKUP(B:B,'[1]扶贫资金项目情况调度统计表 (2)'!$B:$I,8,0)</f>
        <v>0.787448338291998</v>
      </c>
      <c r="AK107" s="44">
        <f t="shared" si="190"/>
        <v>241.589001057054</v>
      </c>
      <c r="AL107" s="76">
        <v>92.68</v>
      </c>
      <c r="AM107" s="44">
        <f t="shared" si="191"/>
        <v>258.041822022053</v>
      </c>
      <c r="AN107" s="67">
        <f t="shared" si="192"/>
        <v>3706</v>
      </c>
      <c r="AO107" s="44" t="e">
        <f>#REF!*1254933/1408452</f>
        <v>#REF!</v>
      </c>
      <c r="AP107" s="44" t="e">
        <f t="shared" si="137"/>
        <v>#REF!</v>
      </c>
      <c r="AQ107" s="126" t="e">
        <f t="shared" si="138"/>
        <v>#REF!</v>
      </c>
      <c r="AR107" s="44">
        <v>0</v>
      </c>
      <c r="AS107" s="44">
        <v>0</v>
      </c>
      <c r="AT107" s="44">
        <v>0</v>
      </c>
      <c r="AU107" s="127">
        <f t="shared" si="180"/>
        <v>3706</v>
      </c>
    </row>
    <row r="108" ht="17" customHeight="1" spans="1:47">
      <c r="A108" s="31">
        <v>69</v>
      </c>
      <c r="B108" s="51" t="s">
        <v>154</v>
      </c>
      <c r="C108" s="31" t="s">
        <v>90</v>
      </c>
      <c r="D108" s="31">
        <v>2018</v>
      </c>
      <c r="E108" s="31"/>
      <c r="F108" s="31"/>
      <c r="G108" s="44">
        <v>5589</v>
      </c>
      <c r="H108" s="44"/>
      <c r="I108" s="44"/>
      <c r="J108" s="75">
        <v>33371</v>
      </c>
      <c r="K108" s="76">
        <f t="shared" si="174"/>
        <v>20022.6</v>
      </c>
      <c r="L108" s="76">
        <f t="shared" si="175"/>
        <v>0</v>
      </c>
      <c r="M108" s="76">
        <f t="shared" si="176"/>
        <v>0</v>
      </c>
      <c r="N108" s="76">
        <f t="shared" si="177"/>
        <v>20022.6</v>
      </c>
      <c r="O108" s="76">
        <f t="shared" si="178"/>
        <v>0</v>
      </c>
      <c r="P108" s="76">
        <f t="shared" si="179"/>
        <v>0</v>
      </c>
      <c r="Q108" s="44">
        <v>3067</v>
      </c>
      <c r="R108" s="76">
        <v>10988</v>
      </c>
      <c r="S108" s="76">
        <f t="shared" si="185"/>
        <v>10988</v>
      </c>
      <c r="T108" s="76"/>
      <c r="U108" s="76"/>
      <c r="V108" s="76"/>
      <c r="W108" s="76">
        <f t="shared" si="193"/>
        <v>10988</v>
      </c>
      <c r="X108" s="44">
        <f t="shared" si="186"/>
        <v>2023.23933461432</v>
      </c>
      <c r="Y108" s="76">
        <v>13141</v>
      </c>
      <c r="Z108" s="103">
        <f t="shared" si="187"/>
        <v>0</v>
      </c>
      <c r="AA108" s="44">
        <f t="shared" si="188"/>
        <v>0</v>
      </c>
      <c r="AB108" s="44"/>
      <c r="AC108" s="44"/>
      <c r="AD108" s="44"/>
      <c r="AE108" s="76"/>
      <c r="AF108" s="44"/>
      <c r="AG108" s="44">
        <f>VLOOKUP(B:B,[2]Sheet2!$B:$E,4,0)</f>
        <v>4</v>
      </c>
      <c r="AH108" s="44">
        <f t="shared" si="189"/>
        <v>40.1203610832497</v>
      </c>
      <c r="AI108" s="44"/>
      <c r="AJ108" s="115">
        <f>VLOOKUP(B:B,'[1]扶贫资金项目情况调度统计表 (2)'!$B:$I,8,0)</f>
        <v>0.578666450269476</v>
      </c>
      <c r="AK108" s="44">
        <f t="shared" si="190"/>
        <v>177.53475735191</v>
      </c>
      <c r="AL108" s="76">
        <v>91.13</v>
      </c>
      <c r="AM108" s="44">
        <f t="shared" si="191"/>
        <v>253.72627579704</v>
      </c>
      <c r="AN108" s="67">
        <f t="shared" si="192"/>
        <v>2495</v>
      </c>
      <c r="AO108" s="44" t="e">
        <f>#REF!*1254933/1408452</f>
        <v>#REF!</v>
      </c>
      <c r="AP108" s="44" t="e">
        <f t="shared" si="137"/>
        <v>#REF!</v>
      </c>
      <c r="AQ108" s="126" t="e">
        <f t="shared" si="138"/>
        <v>#REF!</v>
      </c>
      <c r="AR108" s="44">
        <v>0</v>
      </c>
      <c r="AS108" s="44">
        <v>0</v>
      </c>
      <c r="AT108" s="44">
        <v>0</v>
      </c>
      <c r="AU108" s="127">
        <f t="shared" si="180"/>
        <v>2495</v>
      </c>
    </row>
    <row r="109" ht="17" customHeight="1" spans="1:47">
      <c r="A109" s="31">
        <v>70</v>
      </c>
      <c r="B109" s="51" t="s">
        <v>152</v>
      </c>
      <c r="C109" s="31" t="s">
        <v>90</v>
      </c>
      <c r="D109" s="31">
        <v>2019</v>
      </c>
      <c r="E109" s="31" t="s">
        <v>91</v>
      </c>
      <c r="F109" s="31"/>
      <c r="G109" s="44">
        <v>11135</v>
      </c>
      <c r="H109" s="44"/>
      <c r="I109" s="44"/>
      <c r="J109" s="75">
        <v>60317</v>
      </c>
      <c r="K109" s="76">
        <f t="shared" si="174"/>
        <v>48253.6</v>
      </c>
      <c r="L109" s="76">
        <f t="shared" si="175"/>
        <v>0</v>
      </c>
      <c r="M109" s="76">
        <f t="shared" si="176"/>
        <v>0</v>
      </c>
      <c r="N109" s="76">
        <f t="shared" si="177"/>
        <v>0</v>
      </c>
      <c r="O109" s="76">
        <f t="shared" si="178"/>
        <v>48253.6</v>
      </c>
      <c r="P109" s="76">
        <f t="shared" si="179"/>
        <v>0</v>
      </c>
      <c r="Q109" s="44">
        <v>8638</v>
      </c>
      <c r="R109" s="76">
        <v>8913</v>
      </c>
      <c r="S109" s="76">
        <f t="shared" si="185"/>
        <v>7130.4</v>
      </c>
      <c r="T109" s="76"/>
      <c r="U109" s="76"/>
      <c r="V109" s="76">
        <f>R109*0.8</f>
        <v>7130.4</v>
      </c>
      <c r="W109" s="76"/>
      <c r="X109" s="44">
        <f t="shared" si="186"/>
        <v>3665.3142790869</v>
      </c>
      <c r="Y109" s="76">
        <v>12835</v>
      </c>
      <c r="Z109" s="103">
        <f t="shared" si="187"/>
        <v>0.00132450331125828</v>
      </c>
      <c r="AA109" s="44">
        <f t="shared" si="188"/>
        <v>18.4104181075134</v>
      </c>
      <c r="AB109" s="44"/>
      <c r="AC109" s="44"/>
      <c r="AD109" s="44"/>
      <c r="AE109" s="76">
        <f t="shared" si="194"/>
        <v>28952.16</v>
      </c>
      <c r="AF109" s="44">
        <f t="shared" si="195"/>
        <v>3015.82393243651</v>
      </c>
      <c r="AG109" s="44">
        <f>VLOOKUP(B:B,[2]Sheet2!$B:$E,4,0)</f>
        <v>5</v>
      </c>
      <c r="AH109" s="44">
        <f t="shared" si="189"/>
        <v>50.1504513540622</v>
      </c>
      <c r="AI109" s="44"/>
      <c r="AJ109" s="115">
        <f>VLOOKUP(B:B,'[1]扶贫资金项目情况调度统计表 (2)'!$B:$I,8,0)</f>
        <v>0.552388792766646</v>
      </c>
      <c r="AK109" s="44">
        <f t="shared" si="190"/>
        <v>169.472777006636</v>
      </c>
      <c r="AL109" s="76">
        <v>84.06</v>
      </c>
      <c r="AM109" s="44">
        <f t="shared" si="191"/>
        <v>234.04181656424</v>
      </c>
      <c r="AN109" s="67">
        <f t="shared" si="192"/>
        <v>7153</v>
      </c>
      <c r="AO109" s="44" t="e">
        <f>#REF!*1254933/1408452</f>
        <v>#REF!</v>
      </c>
      <c r="AP109" s="44" t="e">
        <f t="shared" si="137"/>
        <v>#REF!</v>
      </c>
      <c r="AQ109" s="126" t="e">
        <f t="shared" si="138"/>
        <v>#REF!</v>
      </c>
      <c r="AR109" s="44">
        <v>515</v>
      </c>
      <c r="AS109" s="44">
        <v>0</v>
      </c>
      <c r="AT109" s="44">
        <v>0</v>
      </c>
      <c r="AU109" s="127">
        <f t="shared" si="180"/>
        <v>7668</v>
      </c>
    </row>
    <row r="110" ht="17" customHeight="1" spans="1:47">
      <c r="A110" s="31">
        <v>71</v>
      </c>
      <c r="B110" s="51" t="s">
        <v>155</v>
      </c>
      <c r="C110" s="31" t="s">
        <v>93</v>
      </c>
      <c r="D110" s="31">
        <v>2019</v>
      </c>
      <c r="E110" s="31" t="s">
        <v>91</v>
      </c>
      <c r="F110" s="31" t="s">
        <v>146</v>
      </c>
      <c r="G110" s="44">
        <v>10245</v>
      </c>
      <c r="H110" s="44"/>
      <c r="I110" s="44"/>
      <c r="J110" s="75">
        <v>35696</v>
      </c>
      <c r="K110" s="76">
        <f t="shared" si="174"/>
        <v>28556.8</v>
      </c>
      <c r="L110" s="76">
        <f t="shared" si="175"/>
        <v>0</v>
      </c>
      <c r="M110" s="76">
        <f t="shared" si="176"/>
        <v>0</v>
      </c>
      <c r="N110" s="76">
        <f t="shared" si="177"/>
        <v>0</v>
      </c>
      <c r="O110" s="76">
        <f t="shared" si="178"/>
        <v>28556.8</v>
      </c>
      <c r="P110" s="76">
        <f t="shared" si="179"/>
        <v>0</v>
      </c>
      <c r="Q110" s="44">
        <v>2943</v>
      </c>
      <c r="R110" s="76">
        <v>9378</v>
      </c>
      <c r="S110" s="76">
        <f t="shared" si="185"/>
        <v>7502.4</v>
      </c>
      <c r="T110" s="76"/>
      <c r="U110" s="76"/>
      <c r="V110" s="76">
        <f>R110*0.8</f>
        <v>7502.4</v>
      </c>
      <c r="W110" s="76"/>
      <c r="X110" s="44">
        <f t="shared" si="186"/>
        <v>2227.06198230522</v>
      </c>
      <c r="Y110" s="76">
        <v>11879</v>
      </c>
      <c r="Z110" s="103">
        <f t="shared" si="187"/>
        <v>0.182213812677389</v>
      </c>
      <c r="AA110" s="44">
        <f t="shared" si="188"/>
        <v>2532.74751964791</v>
      </c>
      <c r="AB110" s="44">
        <v>11</v>
      </c>
      <c r="AC110" s="44">
        <f t="shared" ref="AC110:AC113" si="196">AB110/$AB$10*0.1*1254933</f>
        <v>3690.97941176471</v>
      </c>
      <c r="AD110" s="44"/>
      <c r="AE110" s="76">
        <f t="shared" si="194"/>
        <v>17134.08</v>
      </c>
      <c r="AF110" s="44">
        <f t="shared" si="195"/>
        <v>1784.78457304332</v>
      </c>
      <c r="AG110" s="44">
        <f>VLOOKUP(B:B,[2]Sheet2!$B:$E,4,0)</f>
        <v>11</v>
      </c>
      <c r="AH110" s="44">
        <f t="shared" si="189"/>
        <v>110.330992978937</v>
      </c>
      <c r="AI110" s="44"/>
      <c r="AJ110" s="115">
        <f>VLOOKUP(B:B,'[1]扶贫资金项目情况调度统计表 (2)'!$B:$I,8,0)</f>
        <v>0.80451625362546</v>
      </c>
      <c r="AK110" s="44">
        <f t="shared" si="190"/>
        <v>246.825434248953</v>
      </c>
      <c r="AL110" s="76">
        <v>83.36</v>
      </c>
      <c r="AM110" s="44">
        <f t="shared" si="191"/>
        <v>232.092860204557</v>
      </c>
      <c r="AN110" s="67">
        <f t="shared" si="192"/>
        <v>10825</v>
      </c>
      <c r="AO110" s="44" t="e">
        <f>#REF!*1254933/1408452</f>
        <v>#REF!</v>
      </c>
      <c r="AP110" s="44" t="e">
        <f t="shared" si="137"/>
        <v>#REF!</v>
      </c>
      <c r="AQ110" s="126" t="e">
        <f t="shared" si="138"/>
        <v>#REF!</v>
      </c>
      <c r="AR110" s="44">
        <v>800</v>
      </c>
      <c r="AS110" s="44">
        <v>198</v>
      </c>
      <c r="AT110" s="44">
        <v>0</v>
      </c>
      <c r="AU110" s="127">
        <f t="shared" si="180"/>
        <v>11823</v>
      </c>
    </row>
    <row r="111" ht="17" customHeight="1" spans="1:47">
      <c r="A111" s="31">
        <v>72</v>
      </c>
      <c r="B111" s="51" t="s">
        <v>157</v>
      </c>
      <c r="C111" s="31" t="s">
        <v>93</v>
      </c>
      <c r="D111" s="31">
        <v>2020</v>
      </c>
      <c r="E111" s="31" t="s">
        <v>94</v>
      </c>
      <c r="F111" s="31" t="s">
        <v>146</v>
      </c>
      <c r="G111" s="44">
        <v>31261</v>
      </c>
      <c r="H111" s="44"/>
      <c r="I111" s="44"/>
      <c r="J111" s="75">
        <v>196287</v>
      </c>
      <c r="K111" s="76">
        <f t="shared" si="174"/>
        <v>196287</v>
      </c>
      <c r="L111" s="76">
        <f t="shared" si="175"/>
        <v>0</v>
      </c>
      <c r="M111" s="76">
        <f t="shared" si="176"/>
        <v>0</v>
      </c>
      <c r="N111" s="76">
        <f t="shared" si="177"/>
        <v>0</v>
      </c>
      <c r="O111" s="76">
        <f t="shared" si="178"/>
        <v>0</v>
      </c>
      <c r="P111" s="76">
        <f t="shared" si="179"/>
        <v>196287</v>
      </c>
      <c r="Q111" s="44">
        <v>32737</v>
      </c>
      <c r="R111" s="76">
        <v>17210</v>
      </c>
      <c r="S111" s="76">
        <f t="shared" si="185"/>
        <v>17210</v>
      </c>
      <c r="T111" s="76"/>
      <c r="U111" s="76"/>
      <c r="V111" s="76"/>
      <c r="W111" s="76">
        <f>R111*1</f>
        <v>17210</v>
      </c>
      <c r="X111" s="44">
        <f t="shared" si="186"/>
        <v>13933.7980913413</v>
      </c>
      <c r="Y111" s="76">
        <v>11779</v>
      </c>
      <c r="Z111" s="103">
        <f t="shared" si="187"/>
        <v>0.201135288552507</v>
      </c>
      <c r="AA111" s="44">
        <f t="shared" si="188"/>
        <v>2795.75349261238</v>
      </c>
      <c r="AB111" s="44">
        <v>8</v>
      </c>
      <c r="AC111" s="44">
        <f t="shared" si="196"/>
        <v>2684.3486631016</v>
      </c>
      <c r="AD111" s="44">
        <v>1800</v>
      </c>
      <c r="AE111" s="76">
        <f>K111</f>
        <v>196287</v>
      </c>
      <c r="AF111" s="44">
        <f t="shared" si="195"/>
        <v>20446.385769703</v>
      </c>
      <c r="AG111" s="44">
        <f>VLOOKUP(B:B,[2]Sheet2!$B:$E,4,0)</f>
        <v>8</v>
      </c>
      <c r="AH111" s="44">
        <f t="shared" si="189"/>
        <v>80.2407221664995</v>
      </c>
      <c r="AI111" s="44"/>
      <c r="AJ111" s="115">
        <f>VLOOKUP(B:B,'[1]扶贫资金项目情况调度统计表 (2)'!$B:$I,8,0)</f>
        <v>0.736211199238379</v>
      </c>
      <c r="AK111" s="44">
        <f t="shared" si="190"/>
        <v>225.869456498951</v>
      </c>
      <c r="AL111" s="76">
        <v>85.51</v>
      </c>
      <c r="AM111" s="44">
        <f t="shared" si="191"/>
        <v>238.078940452155</v>
      </c>
      <c r="AN111" s="67">
        <f t="shared" si="192"/>
        <v>42204</v>
      </c>
      <c r="AO111" s="44" t="e">
        <f>#REF!*1254933/1408452</f>
        <v>#REF!</v>
      </c>
      <c r="AP111" s="44" t="e">
        <f t="shared" si="137"/>
        <v>#REF!</v>
      </c>
      <c r="AQ111" s="126" t="e">
        <f t="shared" si="138"/>
        <v>#REF!</v>
      </c>
      <c r="AR111" s="44">
        <v>500</v>
      </c>
      <c r="AS111" s="44">
        <v>159</v>
      </c>
      <c r="AT111" s="44">
        <v>0</v>
      </c>
      <c r="AU111" s="127">
        <f t="shared" si="180"/>
        <v>42863</v>
      </c>
    </row>
    <row r="112" ht="17" customHeight="1" spans="1:47">
      <c r="A112" s="31">
        <v>73</v>
      </c>
      <c r="B112" s="51" t="s">
        <v>156</v>
      </c>
      <c r="C112" s="31" t="s">
        <v>90</v>
      </c>
      <c r="D112" s="31">
        <v>2018</v>
      </c>
      <c r="E112" s="31" t="s">
        <v>91</v>
      </c>
      <c r="F112" s="31" t="s">
        <v>146</v>
      </c>
      <c r="G112" s="44">
        <v>8369</v>
      </c>
      <c r="H112" s="44"/>
      <c r="I112" s="44"/>
      <c r="J112" s="75">
        <v>28213</v>
      </c>
      <c r="K112" s="76">
        <f t="shared" si="174"/>
        <v>16927.8</v>
      </c>
      <c r="L112" s="76">
        <f t="shared" si="175"/>
        <v>0</v>
      </c>
      <c r="M112" s="76">
        <f t="shared" si="176"/>
        <v>0</v>
      </c>
      <c r="N112" s="76">
        <f t="shared" si="177"/>
        <v>16927.8</v>
      </c>
      <c r="O112" s="76">
        <f t="shared" si="178"/>
        <v>0</v>
      </c>
      <c r="P112" s="76">
        <f t="shared" si="179"/>
        <v>0</v>
      </c>
      <c r="Q112" s="44">
        <v>3750</v>
      </c>
      <c r="R112" s="76">
        <v>214</v>
      </c>
      <c r="S112" s="76">
        <f t="shared" si="185"/>
        <v>85.6</v>
      </c>
      <c r="T112" s="76">
        <f t="shared" ref="T112:T119" si="197">R112*0.4</f>
        <v>85.6</v>
      </c>
      <c r="U112" s="76"/>
      <c r="V112" s="76"/>
      <c r="W112" s="76"/>
      <c r="X112" s="44">
        <f t="shared" si="186"/>
        <v>1177.17725583538</v>
      </c>
      <c r="Y112" s="76">
        <v>11934</v>
      </c>
      <c r="Z112" s="103">
        <f t="shared" si="187"/>
        <v>0.171807000946074</v>
      </c>
      <c r="AA112" s="44">
        <f t="shared" si="188"/>
        <v>2388.09423451745</v>
      </c>
      <c r="AB112" s="44">
        <v>11</v>
      </c>
      <c r="AC112" s="44">
        <f t="shared" si="196"/>
        <v>3690.97941176471</v>
      </c>
      <c r="AD112" s="44"/>
      <c r="AE112" s="76">
        <f>K112*0.6</f>
        <v>10156.68</v>
      </c>
      <c r="AF112" s="44">
        <f t="shared" si="195"/>
        <v>1057.97835526259</v>
      </c>
      <c r="AG112" s="44">
        <f>VLOOKUP(B:B,[2]Sheet2!$B:$E,4,0)</f>
        <v>11</v>
      </c>
      <c r="AH112" s="44">
        <f t="shared" si="189"/>
        <v>110.330992978937</v>
      </c>
      <c r="AI112" s="44"/>
      <c r="AJ112" s="115">
        <f>VLOOKUP(B:B,'[1]扶贫资金项目情况调度统计表 (2)'!$B:$I,8,0)</f>
        <v>0.696864067197648</v>
      </c>
      <c r="AK112" s="44">
        <f t="shared" si="190"/>
        <v>213.797763840613</v>
      </c>
      <c r="AL112" s="76">
        <v>92.09</v>
      </c>
      <c r="AM112" s="44">
        <f t="shared" si="191"/>
        <v>256.399130233177</v>
      </c>
      <c r="AN112" s="67">
        <f t="shared" si="192"/>
        <v>8895</v>
      </c>
      <c r="AO112" s="44" t="e">
        <f>#REF!*1254933/1408452</f>
        <v>#REF!</v>
      </c>
      <c r="AP112" s="44" t="e">
        <f t="shared" si="137"/>
        <v>#REF!</v>
      </c>
      <c r="AQ112" s="126" t="e">
        <f t="shared" si="138"/>
        <v>#REF!</v>
      </c>
      <c r="AR112" s="44">
        <v>500</v>
      </c>
      <c r="AS112" s="44">
        <v>0</v>
      </c>
      <c r="AT112" s="44">
        <v>0</v>
      </c>
      <c r="AU112" s="127">
        <f t="shared" si="180"/>
        <v>9395</v>
      </c>
    </row>
    <row r="113" ht="17" customHeight="1" spans="1:47">
      <c r="A113" s="31">
        <v>74</v>
      </c>
      <c r="B113" s="51" t="s">
        <v>158</v>
      </c>
      <c r="C113" s="31" t="s">
        <v>90</v>
      </c>
      <c r="D113" s="31">
        <v>2018</v>
      </c>
      <c r="E113" s="31" t="s">
        <v>91</v>
      </c>
      <c r="F113" s="31" t="s">
        <v>146</v>
      </c>
      <c r="G113" s="44">
        <v>9618</v>
      </c>
      <c r="H113" s="44"/>
      <c r="I113" s="44"/>
      <c r="J113" s="75">
        <v>29707</v>
      </c>
      <c r="K113" s="76">
        <f t="shared" si="174"/>
        <v>17824.2</v>
      </c>
      <c r="L113" s="76">
        <f t="shared" si="175"/>
        <v>0</v>
      </c>
      <c r="M113" s="76">
        <f t="shared" si="176"/>
        <v>0</v>
      </c>
      <c r="N113" s="76">
        <f t="shared" si="177"/>
        <v>17824.2</v>
      </c>
      <c r="O113" s="76">
        <f t="shared" si="178"/>
        <v>0</v>
      </c>
      <c r="P113" s="76">
        <f t="shared" si="179"/>
        <v>0</v>
      </c>
      <c r="Q113" s="44">
        <v>4533</v>
      </c>
      <c r="R113" s="76">
        <v>218</v>
      </c>
      <c r="S113" s="76">
        <f t="shared" si="185"/>
        <v>87.2</v>
      </c>
      <c r="T113" s="76">
        <f t="shared" si="197"/>
        <v>87.2</v>
      </c>
      <c r="U113" s="76"/>
      <c r="V113" s="76"/>
      <c r="W113" s="76"/>
      <c r="X113" s="44">
        <f t="shared" si="186"/>
        <v>1283.34107706903</v>
      </c>
      <c r="Y113" s="76">
        <v>11736</v>
      </c>
      <c r="Z113" s="103">
        <f t="shared" si="187"/>
        <v>0.209271523178808</v>
      </c>
      <c r="AA113" s="44">
        <f t="shared" si="188"/>
        <v>2908.84606098711</v>
      </c>
      <c r="AB113" s="44">
        <v>14</v>
      </c>
      <c r="AC113" s="44">
        <f t="shared" si="196"/>
        <v>4697.61016042781</v>
      </c>
      <c r="AD113" s="44"/>
      <c r="AE113" s="76">
        <f>K113*0.6</f>
        <v>10694.52</v>
      </c>
      <c r="AF113" s="44">
        <f t="shared" si="195"/>
        <v>1114.00287100931</v>
      </c>
      <c r="AG113" s="44">
        <f>VLOOKUP(B:B,[2]Sheet2!$B:$E,4,0)</f>
        <v>14</v>
      </c>
      <c r="AH113" s="44">
        <f t="shared" si="189"/>
        <v>140.421263791374</v>
      </c>
      <c r="AI113" s="44"/>
      <c r="AJ113" s="115">
        <f>VLOOKUP(B:B,'[1]扶贫资金项目情况调度统计表 (2)'!$B:$I,8,0)</f>
        <v>0.809922273043721</v>
      </c>
      <c r="AK113" s="44">
        <f t="shared" si="190"/>
        <v>248.483999982656</v>
      </c>
      <c r="AL113" s="76">
        <v>93.13</v>
      </c>
      <c r="AM113" s="44">
        <f t="shared" si="191"/>
        <v>259.294722538992</v>
      </c>
      <c r="AN113" s="67">
        <f t="shared" si="192"/>
        <v>10652</v>
      </c>
      <c r="AO113" s="44" t="e">
        <f>#REF!*1254933/1408452</f>
        <v>#REF!</v>
      </c>
      <c r="AP113" s="44" t="e">
        <f t="shared" si="137"/>
        <v>#REF!</v>
      </c>
      <c r="AQ113" s="126" t="e">
        <f t="shared" si="138"/>
        <v>#REF!</v>
      </c>
      <c r="AR113" s="44">
        <v>500</v>
      </c>
      <c r="AS113" s="44">
        <v>0</v>
      </c>
      <c r="AT113" s="44">
        <v>0</v>
      </c>
      <c r="AU113" s="127">
        <f t="shared" si="180"/>
        <v>11152</v>
      </c>
    </row>
    <row r="114" s="6" customFormat="1" ht="27" customHeight="1" spans="1:85">
      <c r="A114" s="39"/>
      <c r="B114" s="40" t="s">
        <v>159</v>
      </c>
      <c r="C114" s="41">
        <v>1</v>
      </c>
      <c r="D114" s="41"/>
      <c r="E114" s="41"/>
      <c r="F114" s="41"/>
      <c r="G114" s="43">
        <v>15860</v>
      </c>
      <c r="H114" s="43">
        <f>H115+H116</f>
        <v>0</v>
      </c>
      <c r="I114" s="43">
        <f>I115+I116</f>
        <v>0</v>
      </c>
      <c r="J114" s="54">
        <f t="shared" ref="J114:X114" si="198">J115+J116</f>
        <v>66152</v>
      </c>
      <c r="K114" s="77">
        <f t="shared" si="198"/>
        <v>28895.6</v>
      </c>
      <c r="L114" s="77">
        <f t="shared" si="198"/>
        <v>2629.6</v>
      </c>
      <c r="M114" s="77">
        <f t="shared" si="198"/>
        <v>11072.8</v>
      </c>
      <c r="N114" s="77">
        <f t="shared" si="198"/>
        <v>15193.2</v>
      </c>
      <c r="O114" s="77">
        <f t="shared" si="198"/>
        <v>0</v>
      </c>
      <c r="P114" s="77">
        <f t="shared" si="198"/>
        <v>0</v>
      </c>
      <c r="Q114" s="43">
        <v>8518</v>
      </c>
      <c r="R114" s="77">
        <f t="shared" si="198"/>
        <v>753</v>
      </c>
      <c r="S114" s="77">
        <f t="shared" si="198"/>
        <v>301.2</v>
      </c>
      <c r="T114" s="77">
        <f t="shared" si="198"/>
        <v>301.2</v>
      </c>
      <c r="U114" s="77">
        <f t="shared" si="198"/>
        <v>0</v>
      </c>
      <c r="V114" s="77">
        <f t="shared" si="198"/>
        <v>0</v>
      </c>
      <c r="W114" s="77">
        <f t="shared" si="198"/>
        <v>0</v>
      </c>
      <c r="X114" s="43">
        <f t="shared" si="198"/>
        <v>2179.34491267914</v>
      </c>
      <c r="Y114" s="77"/>
      <c r="Z114" s="104">
        <f t="shared" ref="Z114:AD114" si="199">Z115+Z116</f>
        <v>0.0122989593188269</v>
      </c>
      <c r="AA114" s="43">
        <f t="shared" si="199"/>
        <v>170.95388242691</v>
      </c>
      <c r="AB114" s="43">
        <v>48</v>
      </c>
      <c r="AC114" s="43">
        <f t="shared" si="199"/>
        <v>16106.0919786096</v>
      </c>
      <c r="AD114" s="43">
        <f t="shared" si="199"/>
        <v>0</v>
      </c>
      <c r="AE114" s="54">
        <f t="shared" ref="AE114:AI114" si="200">AE115+AE116</f>
        <v>0</v>
      </c>
      <c r="AF114" s="43">
        <f t="shared" si="200"/>
        <v>0</v>
      </c>
      <c r="AG114" s="43">
        <f t="shared" si="200"/>
        <v>48</v>
      </c>
      <c r="AH114" s="43">
        <f t="shared" si="200"/>
        <v>481.444332998997</v>
      </c>
      <c r="AI114" s="43">
        <f t="shared" si="200"/>
        <v>0</v>
      </c>
      <c r="AJ114" s="118"/>
      <c r="AK114" s="43">
        <f t="shared" ref="AK114:AO114" si="201">AK115+AK116</f>
        <v>743.54430800595</v>
      </c>
      <c r="AL114" s="54">
        <f t="shared" si="201"/>
        <v>277.44</v>
      </c>
      <c r="AM114" s="43">
        <f t="shared" si="201"/>
        <v>772.454932043574</v>
      </c>
      <c r="AN114" s="119">
        <f t="shared" si="201"/>
        <v>20455</v>
      </c>
      <c r="AO114" s="43" t="e">
        <f t="shared" si="201"/>
        <v>#REF!</v>
      </c>
      <c r="AP114" s="86" t="e">
        <f t="shared" si="137"/>
        <v>#REF!</v>
      </c>
      <c r="AQ114" s="125" t="e">
        <f t="shared" si="138"/>
        <v>#REF!</v>
      </c>
      <c r="AR114" s="43">
        <v>504</v>
      </c>
      <c r="AS114" s="43">
        <v>778</v>
      </c>
      <c r="AT114" s="43">
        <v>0</v>
      </c>
      <c r="AU114" s="43">
        <f>AU115+AU116</f>
        <v>21737</v>
      </c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</row>
    <row r="115" ht="30" customHeight="1" spans="1:47">
      <c r="A115" s="29"/>
      <c r="B115" s="30" t="s">
        <v>160</v>
      </c>
      <c r="C115" s="31">
        <v>2</v>
      </c>
      <c r="D115" s="31"/>
      <c r="E115" s="31"/>
      <c r="F115" s="31"/>
      <c r="G115" s="44"/>
      <c r="H115" s="44"/>
      <c r="I115" s="44"/>
      <c r="J115" s="75"/>
      <c r="K115" s="76">
        <f t="shared" ref="K115:K119" si="202">SUM(L115:P115)</f>
        <v>0</v>
      </c>
      <c r="L115" s="76">
        <f t="shared" ref="L115:L119" si="203">IF(D115="",J115*0.2,0)</f>
        <v>0</v>
      </c>
      <c r="M115" s="76">
        <f t="shared" ref="M115:M119" si="204">IF(D115=2017,J115*0.4,0)</f>
        <v>0</v>
      </c>
      <c r="N115" s="76">
        <f t="shared" ref="N115:N119" si="205">IF(D115=2018,J115*0.6,0)</f>
        <v>0</v>
      </c>
      <c r="O115" s="76">
        <f t="shared" ref="O115:O119" si="206">IF(D115=2019,J115*0.8,0)</f>
        <v>0</v>
      </c>
      <c r="P115" s="76">
        <f t="shared" ref="P115:P119" si="207">IF(D115=2020,J115*1,0)</f>
        <v>0</v>
      </c>
      <c r="Q115" s="44"/>
      <c r="R115" s="76"/>
      <c r="S115" s="76">
        <f>O115*0.4+P115*0.6+Q115*0.8+R115*1</f>
        <v>0</v>
      </c>
      <c r="T115" s="76">
        <f>R115-U115-V115-W115</f>
        <v>0</v>
      </c>
      <c r="U115" s="76"/>
      <c r="V115" s="76"/>
      <c r="W115" s="76"/>
      <c r="X115" s="44"/>
      <c r="Y115" s="76"/>
      <c r="Z115" s="103"/>
      <c r="AA115" s="44"/>
      <c r="AB115" s="44"/>
      <c r="AC115" s="44"/>
      <c r="AD115" s="44"/>
      <c r="AE115" s="76"/>
      <c r="AF115" s="44"/>
      <c r="AG115" s="44"/>
      <c r="AH115" s="44"/>
      <c r="AI115" s="44"/>
      <c r="AJ115" s="115"/>
      <c r="AK115" s="44"/>
      <c r="AL115" s="76"/>
      <c r="AM115" s="44"/>
      <c r="AN115" s="44"/>
      <c r="AO115" s="44"/>
      <c r="AP115" s="86">
        <f t="shared" si="137"/>
        <v>0</v>
      </c>
      <c r="AQ115" s="125"/>
      <c r="AR115" s="44"/>
      <c r="AS115" s="44"/>
      <c r="AT115" s="44"/>
      <c r="AU115" s="127">
        <f t="shared" ref="AU115:AU119" si="208">AT115+AS115+AR115+AN115</f>
        <v>0</v>
      </c>
    </row>
    <row r="116" s="7" customFormat="1" ht="17" customHeight="1" spans="1:85">
      <c r="A116" s="45"/>
      <c r="B116" s="46" t="s">
        <v>76</v>
      </c>
      <c r="C116" s="47">
        <v>3</v>
      </c>
      <c r="D116" s="47"/>
      <c r="E116" s="47"/>
      <c r="F116" s="47"/>
      <c r="G116" s="49">
        <v>15860</v>
      </c>
      <c r="H116" s="49">
        <f>SUM(H117:H119)</f>
        <v>0</v>
      </c>
      <c r="I116" s="49">
        <f>SUM(I117:I119)</f>
        <v>0</v>
      </c>
      <c r="J116" s="55">
        <f t="shared" ref="J116:X116" si="209">SUM(J117:J119)</f>
        <v>66152</v>
      </c>
      <c r="K116" s="78">
        <f t="shared" si="209"/>
        <v>28895.6</v>
      </c>
      <c r="L116" s="78">
        <f t="shared" si="209"/>
        <v>2629.6</v>
      </c>
      <c r="M116" s="78">
        <f t="shared" si="209"/>
        <v>11072.8</v>
      </c>
      <c r="N116" s="78">
        <f t="shared" si="209"/>
        <v>15193.2</v>
      </c>
      <c r="O116" s="78">
        <f t="shared" si="209"/>
        <v>0</v>
      </c>
      <c r="P116" s="78">
        <f t="shared" si="209"/>
        <v>0</v>
      </c>
      <c r="Q116" s="49">
        <v>8518</v>
      </c>
      <c r="R116" s="78">
        <f t="shared" si="209"/>
        <v>753</v>
      </c>
      <c r="S116" s="78">
        <f t="shared" si="209"/>
        <v>301.2</v>
      </c>
      <c r="T116" s="78">
        <f t="shared" si="209"/>
        <v>301.2</v>
      </c>
      <c r="U116" s="78">
        <f t="shared" si="209"/>
        <v>0</v>
      </c>
      <c r="V116" s="78">
        <f t="shared" si="209"/>
        <v>0</v>
      </c>
      <c r="W116" s="78">
        <f t="shared" si="209"/>
        <v>0</v>
      </c>
      <c r="X116" s="49">
        <f t="shared" si="209"/>
        <v>2179.34491267914</v>
      </c>
      <c r="Y116" s="78"/>
      <c r="Z116" s="105">
        <f t="shared" ref="Z116:AD116" si="210">SUM(Z117:Z119)</f>
        <v>0.0122989593188269</v>
      </c>
      <c r="AA116" s="49">
        <f t="shared" si="210"/>
        <v>170.95388242691</v>
      </c>
      <c r="AB116" s="49">
        <v>48</v>
      </c>
      <c r="AC116" s="49">
        <f t="shared" si="210"/>
        <v>16106.0919786096</v>
      </c>
      <c r="AD116" s="49">
        <f t="shared" si="210"/>
        <v>0</v>
      </c>
      <c r="AE116" s="55">
        <f t="shared" ref="AE116:AI116" si="211">SUM(AE117:AE119)</f>
        <v>0</v>
      </c>
      <c r="AF116" s="49">
        <f t="shared" si="211"/>
        <v>0</v>
      </c>
      <c r="AG116" s="49">
        <f t="shared" si="211"/>
        <v>48</v>
      </c>
      <c r="AH116" s="49">
        <f t="shared" si="211"/>
        <v>481.444332998997</v>
      </c>
      <c r="AI116" s="49">
        <f t="shared" si="211"/>
        <v>0</v>
      </c>
      <c r="AJ116" s="120"/>
      <c r="AK116" s="49">
        <f t="shared" ref="AK116:AO116" si="212">SUM(AK117:AK119)</f>
        <v>743.54430800595</v>
      </c>
      <c r="AL116" s="55">
        <f t="shared" si="212"/>
        <v>277.44</v>
      </c>
      <c r="AM116" s="49">
        <f t="shared" si="212"/>
        <v>772.454932043574</v>
      </c>
      <c r="AN116" s="121">
        <f t="shared" si="212"/>
        <v>20455</v>
      </c>
      <c r="AO116" s="49" t="e">
        <f t="shared" si="212"/>
        <v>#REF!</v>
      </c>
      <c r="AP116" s="86" t="e">
        <f t="shared" si="137"/>
        <v>#REF!</v>
      </c>
      <c r="AQ116" s="125" t="e">
        <f t="shared" si="138"/>
        <v>#REF!</v>
      </c>
      <c r="AR116" s="49">
        <v>504</v>
      </c>
      <c r="AS116" s="49">
        <v>778</v>
      </c>
      <c r="AT116" s="49">
        <v>0</v>
      </c>
      <c r="AU116" s="49">
        <f>SUM(AU117:AU119)</f>
        <v>21737</v>
      </c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</row>
    <row r="117" ht="17" customHeight="1" spans="1:47">
      <c r="A117" s="31">
        <v>75</v>
      </c>
      <c r="B117" s="51" t="s">
        <v>161</v>
      </c>
      <c r="C117" s="31" t="s">
        <v>78</v>
      </c>
      <c r="D117" s="31"/>
      <c r="E117" s="31"/>
      <c r="F117" s="31" t="s">
        <v>146</v>
      </c>
      <c r="G117" s="44">
        <v>4771</v>
      </c>
      <c r="H117" s="44"/>
      <c r="I117" s="44"/>
      <c r="J117" s="75">
        <v>13148</v>
      </c>
      <c r="K117" s="76">
        <f t="shared" si="202"/>
        <v>2629.6</v>
      </c>
      <c r="L117" s="76">
        <f t="shared" si="203"/>
        <v>2629.6</v>
      </c>
      <c r="M117" s="76">
        <f t="shared" si="204"/>
        <v>0</v>
      </c>
      <c r="N117" s="76">
        <f t="shared" si="205"/>
        <v>0</v>
      </c>
      <c r="O117" s="76">
        <f t="shared" si="206"/>
        <v>0</v>
      </c>
      <c r="P117" s="76">
        <f t="shared" si="207"/>
        <v>0</v>
      </c>
      <c r="Q117" s="44">
        <v>1944</v>
      </c>
      <c r="R117" s="76">
        <v>173</v>
      </c>
      <c r="S117" s="76">
        <f t="shared" ref="S117:S119" si="213">T117+U117+V117+W117</f>
        <v>69.2</v>
      </c>
      <c r="T117" s="76">
        <f t="shared" si="197"/>
        <v>69.2</v>
      </c>
      <c r="U117" s="76"/>
      <c r="V117" s="76"/>
      <c r="W117" s="76"/>
      <c r="X117" s="44">
        <f t="shared" ref="X117:X119" si="214">(K117/$K$10*0.2+Q117/$Q$10*0.05+S117/$S$10*0.05)*1254933</f>
        <v>289.194360585805</v>
      </c>
      <c r="Y117" s="76">
        <v>17615</v>
      </c>
      <c r="Z117" s="103">
        <f t="shared" ref="Z117:Z119" si="215">IF(Y117&lt;12842,(12842-Y117)/(12842-$Y$176),0)</f>
        <v>0</v>
      </c>
      <c r="AA117" s="44">
        <f t="shared" ref="AA117:AA119" si="216">(Z117/$Z$10*0.2)*1254933</f>
        <v>0</v>
      </c>
      <c r="AB117" s="44">
        <v>9</v>
      </c>
      <c r="AC117" s="44">
        <f t="shared" ref="AC117:AC119" si="217">AB117/$AB$10*0.1*1254933</f>
        <v>3019.89224598931</v>
      </c>
      <c r="AD117" s="44"/>
      <c r="AE117" s="76"/>
      <c r="AF117" s="44"/>
      <c r="AG117" s="44">
        <f>VLOOKUP(B:B,[2]Sheet2!$B:$E,4,0)</f>
        <v>9</v>
      </c>
      <c r="AH117" s="44">
        <f t="shared" ref="AH117:AH119" si="218">AG117/$AG$10*10000</f>
        <v>90.2708124373119</v>
      </c>
      <c r="AI117" s="44"/>
      <c r="AJ117" s="115">
        <f>VLOOKUP(B:B,'[1]扶贫资金项目情况调度统计表 (2)'!$B:$I,8,0)</f>
        <v>0.867618185941758</v>
      </c>
      <c r="AK117" s="44">
        <f t="shared" ref="AK117:AK119" si="219">AJ117/$AJ$10*0.025*1254933</f>
        <v>266.185095133031</v>
      </c>
      <c r="AL117" s="76">
        <v>93.81</v>
      </c>
      <c r="AM117" s="44">
        <f t="shared" ref="AM117:AM119" si="220">(AL117/$AL$10)*0.025*1254933</f>
        <v>261.187994431256</v>
      </c>
      <c r="AN117" s="67">
        <f t="shared" ref="AN117:AN119" si="221">ROUND(AM117+AK117+AI117+AF117+AH117+AD117+AC117+AA117+X117,0)</f>
        <v>3927</v>
      </c>
      <c r="AO117" s="44" t="e">
        <f>#REF!*1254933/1408452</f>
        <v>#REF!</v>
      </c>
      <c r="AP117" s="44" t="e">
        <f t="shared" si="137"/>
        <v>#REF!</v>
      </c>
      <c r="AQ117" s="126" t="e">
        <f t="shared" si="138"/>
        <v>#REF!</v>
      </c>
      <c r="AR117" s="44">
        <v>0</v>
      </c>
      <c r="AS117" s="44">
        <v>425</v>
      </c>
      <c r="AT117" s="44">
        <v>0</v>
      </c>
      <c r="AU117" s="127">
        <f t="shared" si="208"/>
        <v>4352</v>
      </c>
    </row>
    <row r="118" ht="17" customHeight="1" spans="1:47">
      <c r="A118" s="31">
        <v>76</v>
      </c>
      <c r="B118" s="51" t="s">
        <v>162</v>
      </c>
      <c r="C118" s="31" t="s">
        <v>90</v>
      </c>
      <c r="D118" s="31">
        <v>2017</v>
      </c>
      <c r="E118" s="31"/>
      <c r="F118" s="31" t="s">
        <v>146</v>
      </c>
      <c r="G118" s="44">
        <v>5632</v>
      </c>
      <c r="H118" s="44"/>
      <c r="I118" s="44"/>
      <c r="J118" s="75">
        <v>27682</v>
      </c>
      <c r="K118" s="76">
        <f t="shared" si="202"/>
        <v>11072.8</v>
      </c>
      <c r="L118" s="76">
        <f t="shared" si="203"/>
        <v>0</v>
      </c>
      <c r="M118" s="76">
        <f t="shared" si="204"/>
        <v>11072.8</v>
      </c>
      <c r="N118" s="76">
        <f t="shared" si="205"/>
        <v>0</v>
      </c>
      <c r="O118" s="76">
        <f t="shared" si="206"/>
        <v>0</v>
      </c>
      <c r="P118" s="76">
        <f t="shared" si="207"/>
        <v>0</v>
      </c>
      <c r="Q118" s="44">
        <v>3397</v>
      </c>
      <c r="R118" s="76">
        <v>459</v>
      </c>
      <c r="S118" s="76">
        <f t="shared" si="213"/>
        <v>183.6</v>
      </c>
      <c r="T118" s="76">
        <f t="shared" si="197"/>
        <v>183.6</v>
      </c>
      <c r="U118" s="76"/>
      <c r="V118" s="76"/>
      <c r="W118" s="76"/>
      <c r="X118" s="44">
        <f t="shared" si="214"/>
        <v>849.733382413841</v>
      </c>
      <c r="Y118" s="76">
        <v>13951</v>
      </c>
      <c r="Z118" s="103">
        <f t="shared" si="215"/>
        <v>0</v>
      </c>
      <c r="AA118" s="44">
        <f t="shared" si="216"/>
        <v>0</v>
      </c>
      <c r="AB118" s="44">
        <v>12</v>
      </c>
      <c r="AC118" s="44">
        <f t="shared" si="217"/>
        <v>4026.52299465241</v>
      </c>
      <c r="AD118" s="44"/>
      <c r="AE118" s="76"/>
      <c r="AF118" s="44"/>
      <c r="AG118" s="44">
        <f>VLOOKUP(B:B,[2]Sheet2!$B:$E,4,0)</f>
        <v>12</v>
      </c>
      <c r="AH118" s="44">
        <f t="shared" si="218"/>
        <v>120.361083249749</v>
      </c>
      <c r="AI118" s="44"/>
      <c r="AJ118" s="115">
        <f>VLOOKUP(B:B,'[1]扶贫资金项目情况调度统计表 (2)'!$B:$I,8,0)</f>
        <v>0.851850890902816</v>
      </c>
      <c r="AK118" s="44">
        <f t="shared" si="219"/>
        <v>261.347692001174</v>
      </c>
      <c r="AL118" s="76">
        <v>88.93</v>
      </c>
      <c r="AM118" s="44">
        <f t="shared" si="220"/>
        <v>247.600984380893</v>
      </c>
      <c r="AN118" s="67">
        <f t="shared" si="221"/>
        <v>5506</v>
      </c>
      <c r="AO118" s="44" t="e">
        <f>#REF!*1254933/1408452</f>
        <v>#REF!</v>
      </c>
      <c r="AP118" s="44" t="e">
        <f t="shared" si="137"/>
        <v>#REF!</v>
      </c>
      <c r="AQ118" s="126" t="e">
        <f t="shared" si="138"/>
        <v>#REF!</v>
      </c>
      <c r="AR118" s="44">
        <v>0</v>
      </c>
      <c r="AS118" s="44">
        <v>353</v>
      </c>
      <c r="AT118" s="44">
        <v>0</v>
      </c>
      <c r="AU118" s="127">
        <f t="shared" si="208"/>
        <v>5859</v>
      </c>
    </row>
    <row r="119" ht="17" customHeight="1" spans="1:47">
      <c r="A119" s="31">
        <v>77</v>
      </c>
      <c r="B119" s="51" t="s">
        <v>163</v>
      </c>
      <c r="C119" s="31" t="s">
        <v>90</v>
      </c>
      <c r="D119" s="31">
        <v>2018</v>
      </c>
      <c r="E119" s="31"/>
      <c r="F119" s="31" t="s">
        <v>146</v>
      </c>
      <c r="G119" s="44">
        <v>5457</v>
      </c>
      <c r="H119" s="44"/>
      <c r="I119" s="44"/>
      <c r="J119" s="75">
        <v>25322</v>
      </c>
      <c r="K119" s="76">
        <f t="shared" si="202"/>
        <v>15193.2</v>
      </c>
      <c r="L119" s="76">
        <f t="shared" si="203"/>
        <v>0</v>
      </c>
      <c r="M119" s="76">
        <f t="shared" si="204"/>
        <v>0</v>
      </c>
      <c r="N119" s="76">
        <f t="shared" si="205"/>
        <v>15193.2</v>
      </c>
      <c r="O119" s="76">
        <f t="shared" si="206"/>
        <v>0</v>
      </c>
      <c r="P119" s="76">
        <f t="shared" si="207"/>
        <v>0</v>
      </c>
      <c r="Q119" s="44">
        <v>3177</v>
      </c>
      <c r="R119" s="76">
        <v>121</v>
      </c>
      <c r="S119" s="76">
        <f t="shared" si="213"/>
        <v>48.4</v>
      </c>
      <c r="T119" s="76">
        <f t="shared" si="197"/>
        <v>48.4</v>
      </c>
      <c r="U119" s="76"/>
      <c r="V119" s="76"/>
      <c r="W119" s="76"/>
      <c r="X119" s="44">
        <f t="shared" si="214"/>
        <v>1040.41716967949</v>
      </c>
      <c r="Y119" s="76">
        <v>12777</v>
      </c>
      <c r="Z119" s="103">
        <f t="shared" si="215"/>
        <v>0.0122989593188269</v>
      </c>
      <c r="AA119" s="44">
        <f t="shared" si="216"/>
        <v>170.95388242691</v>
      </c>
      <c r="AB119" s="44">
        <v>27</v>
      </c>
      <c r="AC119" s="44">
        <f t="shared" si="217"/>
        <v>9059.67673796791</v>
      </c>
      <c r="AD119" s="44"/>
      <c r="AE119" s="76"/>
      <c r="AF119" s="44"/>
      <c r="AG119" s="44">
        <f>VLOOKUP(B:B,[2]Sheet2!$B:$E,4,0)</f>
        <v>27</v>
      </c>
      <c r="AH119" s="44">
        <f t="shared" si="218"/>
        <v>270.812437311936</v>
      </c>
      <c r="AI119" s="44"/>
      <c r="AJ119" s="115">
        <f>VLOOKUP(B:B,'[1]扶贫资金项目情况调度统计表 (2)'!$B:$I,8,0)</f>
        <v>0.704079707346495</v>
      </c>
      <c r="AK119" s="44">
        <f t="shared" si="219"/>
        <v>216.011520871745</v>
      </c>
      <c r="AL119" s="76">
        <v>94.7</v>
      </c>
      <c r="AM119" s="44">
        <f t="shared" si="220"/>
        <v>263.665953231425</v>
      </c>
      <c r="AN119" s="67">
        <f t="shared" si="221"/>
        <v>11022</v>
      </c>
      <c r="AO119" s="44" t="e">
        <f>#REF!*1254933/1408452</f>
        <v>#REF!</v>
      </c>
      <c r="AP119" s="44" t="e">
        <f t="shared" si="137"/>
        <v>#REF!</v>
      </c>
      <c r="AQ119" s="126" t="e">
        <f t="shared" si="138"/>
        <v>#REF!</v>
      </c>
      <c r="AR119" s="44">
        <v>504</v>
      </c>
      <c r="AS119" s="44">
        <v>0</v>
      </c>
      <c r="AT119" s="44">
        <v>0</v>
      </c>
      <c r="AU119" s="127">
        <f t="shared" si="208"/>
        <v>11526</v>
      </c>
    </row>
    <row r="120" s="6" customFormat="1" ht="17" customHeight="1" spans="1:85">
      <c r="A120" s="39"/>
      <c r="B120" s="40" t="s">
        <v>164</v>
      </c>
      <c r="C120" s="41">
        <v>1</v>
      </c>
      <c r="D120" s="41"/>
      <c r="E120" s="41"/>
      <c r="F120" s="41"/>
      <c r="G120" s="43">
        <v>61476</v>
      </c>
      <c r="H120" s="43">
        <f>H121+H122</f>
        <v>0</v>
      </c>
      <c r="I120" s="43">
        <f>I121+I122</f>
        <v>0</v>
      </c>
      <c r="J120" s="54">
        <f t="shared" ref="J120:X120" si="222">J121+J122</f>
        <v>310681</v>
      </c>
      <c r="K120" s="77">
        <f t="shared" si="222"/>
        <v>168132.6</v>
      </c>
      <c r="L120" s="77">
        <f t="shared" si="222"/>
        <v>15394.2</v>
      </c>
      <c r="M120" s="77">
        <f t="shared" si="222"/>
        <v>13178</v>
      </c>
      <c r="N120" s="77">
        <f t="shared" si="222"/>
        <v>63154.8</v>
      </c>
      <c r="O120" s="77">
        <f t="shared" si="222"/>
        <v>76405.6</v>
      </c>
      <c r="P120" s="77">
        <f t="shared" si="222"/>
        <v>0</v>
      </c>
      <c r="Q120" s="43">
        <v>39411</v>
      </c>
      <c r="R120" s="77">
        <f t="shared" si="222"/>
        <v>47828</v>
      </c>
      <c r="S120" s="77">
        <f t="shared" si="222"/>
        <v>36452.6</v>
      </c>
      <c r="T120" s="77">
        <f t="shared" si="222"/>
        <v>0</v>
      </c>
      <c r="U120" s="77">
        <f t="shared" si="222"/>
        <v>5429.4</v>
      </c>
      <c r="V120" s="77">
        <f t="shared" si="222"/>
        <v>31023.2</v>
      </c>
      <c r="W120" s="77">
        <f t="shared" si="222"/>
        <v>0</v>
      </c>
      <c r="X120" s="43">
        <f t="shared" si="222"/>
        <v>14255.3695009503</v>
      </c>
      <c r="Y120" s="77"/>
      <c r="Z120" s="104">
        <f t="shared" ref="Z120:AD120" si="223">Z121+Z122</f>
        <v>0.724314096499526</v>
      </c>
      <c r="AA120" s="43">
        <f t="shared" si="223"/>
        <v>10067.8686450802</v>
      </c>
      <c r="AB120" s="43">
        <v>0</v>
      </c>
      <c r="AC120" s="43">
        <f t="shared" si="223"/>
        <v>0</v>
      </c>
      <c r="AD120" s="43">
        <f t="shared" si="223"/>
        <v>1800</v>
      </c>
      <c r="AE120" s="54">
        <f t="shared" ref="AE120:AI120" si="224">AE121+AE122</f>
        <v>76405.6</v>
      </c>
      <c r="AF120" s="43">
        <f t="shared" si="224"/>
        <v>7958.84787360153</v>
      </c>
      <c r="AG120" s="43">
        <f t="shared" si="224"/>
        <v>61</v>
      </c>
      <c r="AH120" s="43">
        <f t="shared" si="224"/>
        <v>611.835506519559</v>
      </c>
      <c r="AI120" s="43">
        <f t="shared" si="224"/>
        <v>0</v>
      </c>
      <c r="AJ120" s="118"/>
      <c r="AK120" s="43">
        <f t="shared" ref="AK120:AO120" si="225">AK121+AK122</f>
        <v>2457.60563121533</v>
      </c>
      <c r="AL120" s="54">
        <f t="shared" si="225"/>
        <v>904.29</v>
      </c>
      <c r="AM120" s="43">
        <f t="shared" si="225"/>
        <v>2517.74535213986</v>
      </c>
      <c r="AN120" s="119">
        <f t="shared" si="225"/>
        <v>39672</v>
      </c>
      <c r="AO120" s="43" t="e">
        <f t="shared" si="225"/>
        <v>#REF!</v>
      </c>
      <c r="AP120" s="86" t="e">
        <f t="shared" si="137"/>
        <v>#REF!</v>
      </c>
      <c r="AQ120" s="125" t="e">
        <f t="shared" si="138"/>
        <v>#REF!</v>
      </c>
      <c r="AR120" s="43">
        <v>500</v>
      </c>
      <c r="AS120" s="43">
        <v>0</v>
      </c>
      <c r="AT120" s="43">
        <v>428</v>
      </c>
      <c r="AU120" s="43">
        <f>AU121+AU122</f>
        <v>40600</v>
      </c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</row>
    <row r="121" ht="17" customHeight="1" spans="1:47">
      <c r="A121" s="29"/>
      <c r="B121" s="30" t="s">
        <v>165</v>
      </c>
      <c r="C121" s="31">
        <v>2</v>
      </c>
      <c r="D121" s="31"/>
      <c r="E121" s="31"/>
      <c r="F121" s="31"/>
      <c r="G121" s="44">
        <v>759</v>
      </c>
      <c r="H121" s="44"/>
      <c r="I121" s="44"/>
      <c r="J121" s="75"/>
      <c r="K121" s="76">
        <f t="shared" ref="K121:K132" si="226">SUM(L121:P121)</f>
        <v>0</v>
      </c>
      <c r="L121" s="76">
        <f t="shared" ref="L121:L132" si="227">IF(D121="",J121*0.2,0)</f>
        <v>0</v>
      </c>
      <c r="M121" s="76">
        <f t="shared" ref="M121:M132" si="228">IF(D121=2017,J121*0.4,0)</f>
        <v>0</v>
      </c>
      <c r="N121" s="76">
        <f t="shared" ref="N121:N132" si="229">IF(D121=2018,J121*0.6,0)</f>
        <v>0</v>
      </c>
      <c r="O121" s="76">
        <f t="shared" ref="O121:O132" si="230">IF(D121=2019,J121*0.8,0)</f>
        <v>0</v>
      </c>
      <c r="P121" s="76">
        <f t="shared" ref="P121:P132" si="231">IF(D121=2020,J121*1,0)</f>
        <v>0</v>
      </c>
      <c r="Q121" s="44"/>
      <c r="R121" s="76"/>
      <c r="S121" s="76">
        <f>O121*0.4+P121*0.6+Q121*0.8+R121*1</f>
        <v>0</v>
      </c>
      <c r="T121" s="76">
        <f>R121-U121-V121-W121</f>
        <v>0</v>
      </c>
      <c r="U121" s="76"/>
      <c r="V121" s="76"/>
      <c r="W121" s="76"/>
      <c r="X121" s="44"/>
      <c r="Y121" s="76"/>
      <c r="Z121" s="103"/>
      <c r="AA121" s="44"/>
      <c r="AB121" s="44"/>
      <c r="AC121" s="44"/>
      <c r="AD121" s="44"/>
      <c r="AE121" s="76"/>
      <c r="AF121" s="44"/>
      <c r="AG121" s="44"/>
      <c r="AH121" s="44"/>
      <c r="AI121" s="44"/>
      <c r="AJ121" s="115"/>
      <c r="AK121" s="44"/>
      <c r="AL121" s="76"/>
      <c r="AM121" s="44"/>
      <c r="AN121" s="44"/>
      <c r="AO121" s="44"/>
      <c r="AP121" s="86">
        <f t="shared" si="137"/>
        <v>0</v>
      </c>
      <c r="AQ121" s="125"/>
      <c r="AR121" s="44"/>
      <c r="AS121" s="44"/>
      <c r="AT121" s="44"/>
      <c r="AU121" s="127">
        <f t="shared" ref="AU121:AU132" si="232">AT121+AS121+AR121+AN121</f>
        <v>0</v>
      </c>
    </row>
    <row r="122" s="7" customFormat="1" ht="17" customHeight="1" spans="1:85">
      <c r="A122" s="45"/>
      <c r="B122" s="46" t="s">
        <v>76</v>
      </c>
      <c r="C122" s="47">
        <v>3</v>
      </c>
      <c r="D122" s="47"/>
      <c r="E122" s="47"/>
      <c r="F122" s="47"/>
      <c r="G122" s="49">
        <v>60717</v>
      </c>
      <c r="H122" s="49">
        <f>SUM(H123:H132)</f>
        <v>0</v>
      </c>
      <c r="I122" s="49">
        <f>SUM(I123:I132)</f>
        <v>0</v>
      </c>
      <c r="J122" s="55">
        <f t="shared" ref="J122:X122" si="233">SUM(J123:J132)</f>
        <v>310681</v>
      </c>
      <c r="K122" s="78">
        <f t="shared" si="233"/>
        <v>168132.6</v>
      </c>
      <c r="L122" s="78">
        <f t="shared" si="233"/>
        <v>15394.2</v>
      </c>
      <c r="M122" s="78">
        <f t="shared" si="233"/>
        <v>13178</v>
      </c>
      <c r="N122" s="78">
        <f t="shared" si="233"/>
        <v>63154.8</v>
      </c>
      <c r="O122" s="78">
        <f t="shared" si="233"/>
        <v>76405.6</v>
      </c>
      <c r="P122" s="78">
        <f t="shared" si="233"/>
        <v>0</v>
      </c>
      <c r="Q122" s="49">
        <v>39411</v>
      </c>
      <c r="R122" s="78">
        <f t="shared" si="233"/>
        <v>47828</v>
      </c>
      <c r="S122" s="78">
        <f t="shared" si="233"/>
        <v>36452.6</v>
      </c>
      <c r="T122" s="78">
        <f t="shared" si="233"/>
        <v>0</v>
      </c>
      <c r="U122" s="78">
        <f t="shared" si="233"/>
        <v>5429.4</v>
      </c>
      <c r="V122" s="78">
        <f t="shared" si="233"/>
        <v>31023.2</v>
      </c>
      <c r="W122" s="78">
        <f t="shared" si="233"/>
        <v>0</v>
      </c>
      <c r="X122" s="49">
        <f t="shared" si="233"/>
        <v>14255.3695009503</v>
      </c>
      <c r="Y122" s="78"/>
      <c r="Z122" s="105">
        <f t="shared" ref="Z122:AD122" si="234">SUM(Z123:Z132)</f>
        <v>0.724314096499526</v>
      </c>
      <c r="AA122" s="49">
        <f t="shared" si="234"/>
        <v>10067.8686450802</v>
      </c>
      <c r="AB122" s="49">
        <v>0</v>
      </c>
      <c r="AC122" s="49">
        <f t="shared" si="234"/>
        <v>0</v>
      </c>
      <c r="AD122" s="49">
        <f t="shared" si="234"/>
        <v>1800</v>
      </c>
      <c r="AE122" s="55">
        <f t="shared" ref="AE122:AI122" si="235">SUM(AE123:AE132)</f>
        <v>76405.6</v>
      </c>
      <c r="AF122" s="49">
        <f t="shared" si="235"/>
        <v>7958.84787360153</v>
      </c>
      <c r="AG122" s="49">
        <f t="shared" si="235"/>
        <v>61</v>
      </c>
      <c r="AH122" s="49">
        <f t="shared" si="235"/>
        <v>611.835506519559</v>
      </c>
      <c r="AI122" s="49">
        <f t="shared" si="235"/>
        <v>0</v>
      </c>
      <c r="AJ122" s="120"/>
      <c r="AK122" s="49">
        <f t="shared" ref="AK122:AO122" si="236">SUM(AK123:AK132)</f>
        <v>2457.60563121533</v>
      </c>
      <c r="AL122" s="55">
        <f t="shared" si="236"/>
        <v>904.29</v>
      </c>
      <c r="AM122" s="49">
        <f t="shared" si="236"/>
        <v>2517.74535213986</v>
      </c>
      <c r="AN122" s="121">
        <f t="shared" si="236"/>
        <v>39672</v>
      </c>
      <c r="AO122" s="49" t="e">
        <f t="shared" si="236"/>
        <v>#REF!</v>
      </c>
      <c r="AP122" s="86" t="e">
        <f t="shared" si="137"/>
        <v>#REF!</v>
      </c>
      <c r="AQ122" s="125" t="e">
        <f t="shared" si="138"/>
        <v>#REF!</v>
      </c>
      <c r="AR122" s="49">
        <v>500</v>
      </c>
      <c r="AS122" s="49">
        <v>0</v>
      </c>
      <c r="AT122" s="49">
        <v>428</v>
      </c>
      <c r="AU122" s="49">
        <f>SUM(AU123:AU132)</f>
        <v>40600</v>
      </c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</row>
    <row r="123" ht="17" customHeight="1" spans="1:47">
      <c r="A123" s="31">
        <v>78</v>
      </c>
      <c r="B123" s="51" t="s">
        <v>166</v>
      </c>
      <c r="C123" s="31" t="s">
        <v>78</v>
      </c>
      <c r="D123" s="31"/>
      <c r="E123" s="31"/>
      <c r="F123" s="31"/>
      <c r="G123" s="44">
        <v>1851</v>
      </c>
      <c r="H123" s="44"/>
      <c r="I123" s="44"/>
      <c r="J123" s="75">
        <v>33951</v>
      </c>
      <c r="K123" s="76">
        <f t="shared" si="226"/>
        <v>6790.2</v>
      </c>
      <c r="L123" s="76">
        <f t="shared" si="227"/>
        <v>6790.2</v>
      </c>
      <c r="M123" s="76">
        <f t="shared" si="228"/>
        <v>0</v>
      </c>
      <c r="N123" s="76">
        <f t="shared" si="229"/>
        <v>0</v>
      </c>
      <c r="O123" s="76">
        <f t="shared" si="230"/>
        <v>0</v>
      </c>
      <c r="P123" s="76">
        <f t="shared" si="231"/>
        <v>0</v>
      </c>
      <c r="Q123" s="44">
        <v>4732</v>
      </c>
      <c r="R123" s="76">
        <v>1850</v>
      </c>
      <c r="S123" s="76">
        <f t="shared" ref="S123:S132" si="237">T123+U123+V123+W123</f>
        <v>1110</v>
      </c>
      <c r="T123" s="76"/>
      <c r="U123" s="76">
        <f t="shared" ref="U123:U127" si="238">R123*0.6</f>
        <v>1110</v>
      </c>
      <c r="V123" s="76"/>
      <c r="W123" s="76"/>
      <c r="X123" s="44">
        <f t="shared" ref="X123:X132" si="239">(K123/$K$10*0.2+Q123/$Q$10*0.05+S123/$S$10*0.05)*1254933</f>
        <v>787.865665275892</v>
      </c>
      <c r="Y123" s="76">
        <v>13751</v>
      </c>
      <c r="Z123" s="103">
        <f t="shared" ref="Z123:Z132" si="240">IF(Y123&lt;12842,(12842-Y123)/(12842-$Y$176),0)</f>
        <v>0</v>
      </c>
      <c r="AA123" s="44">
        <f t="shared" ref="AA123:AA132" si="241">(Z123/$Z$10*0.2)*1254933</f>
        <v>0</v>
      </c>
      <c r="AB123" s="44"/>
      <c r="AC123" s="44"/>
      <c r="AD123" s="44"/>
      <c r="AE123" s="76"/>
      <c r="AF123" s="44"/>
      <c r="AG123" s="44">
        <f>VLOOKUP(B:B,[2]Sheet2!$B:$E,4,0)</f>
        <v>6</v>
      </c>
      <c r="AH123" s="44">
        <f t="shared" ref="AH123:AH132" si="242">AG123/$AG$10*10000</f>
        <v>60.1805416248746</v>
      </c>
      <c r="AI123" s="44"/>
      <c r="AJ123" s="115">
        <f>VLOOKUP(B:B,'[1]扶贫资金项目情况调度统计表 (2)'!$B:$I,8,0)</f>
        <v>0.612934561571218</v>
      </c>
      <c r="AK123" s="44">
        <f t="shared" ref="AK123:AK132" si="243">AJ123/$AJ$10*0.025*1254933</f>
        <v>188.048207409417</v>
      </c>
      <c r="AL123" s="76">
        <v>93.79</v>
      </c>
      <c r="AM123" s="44">
        <f t="shared" ref="AM123:AM132" si="244">(AL123/$AL$10)*0.025*1254933</f>
        <v>261.132309963836</v>
      </c>
      <c r="AN123" s="67">
        <f t="shared" ref="AN123:AN132" si="245">ROUND(AM123+AK123+AI123+AF123+AH123+AD123+AC123+AA123+X123,0)</f>
        <v>1297</v>
      </c>
      <c r="AO123" s="44" t="e">
        <f>#REF!*1254933/1408452</f>
        <v>#REF!</v>
      </c>
      <c r="AP123" s="44" t="e">
        <f t="shared" si="137"/>
        <v>#REF!</v>
      </c>
      <c r="AQ123" s="126" t="e">
        <f t="shared" si="138"/>
        <v>#REF!</v>
      </c>
      <c r="AR123" s="44">
        <v>0</v>
      </c>
      <c r="AS123" s="44">
        <v>0</v>
      </c>
      <c r="AT123" s="44">
        <v>161</v>
      </c>
      <c r="AU123" s="127">
        <f t="shared" si="232"/>
        <v>1458</v>
      </c>
    </row>
    <row r="124" ht="17" customHeight="1" spans="1:47">
      <c r="A124" s="31">
        <v>79</v>
      </c>
      <c r="B124" s="51" t="s">
        <v>167</v>
      </c>
      <c r="C124" s="31" t="s">
        <v>90</v>
      </c>
      <c r="D124" s="31">
        <v>2018</v>
      </c>
      <c r="E124" s="31"/>
      <c r="F124" s="31"/>
      <c r="G124" s="44">
        <v>6114</v>
      </c>
      <c r="H124" s="44"/>
      <c r="I124" s="44"/>
      <c r="J124" s="75">
        <v>22402</v>
      </c>
      <c r="K124" s="76">
        <f t="shared" si="226"/>
        <v>13441.2</v>
      </c>
      <c r="L124" s="76">
        <f t="shared" si="227"/>
        <v>0</v>
      </c>
      <c r="M124" s="76">
        <f t="shared" si="228"/>
        <v>0</v>
      </c>
      <c r="N124" s="76">
        <f t="shared" si="229"/>
        <v>13441.2</v>
      </c>
      <c r="O124" s="76">
        <f t="shared" si="230"/>
        <v>0</v>
      </c>
      <c r="P124" s="76">
        <f t="shared" si="231"/>
        <v>0</v>
      </c>
      <c r="Q124" s="44">
        <v>3446</v>
      </c>
      <c r="R124" s="76">
        <v>5801</v>
      </c>
      <c r="S124" s="76">
        <f t="shared" si="237"/>
        <v>4640.8</v>
      </c>
      <c r="T124" s="76"/>
      <c r="U124" s="76"/>
      <c r="V124" s="76">
        <f t="shared" ref="V124:V128" si="246">R124*0.8</f>
        <v>4640.8</v>
      </c>
      <c r="W124" s="76"/>
      <c r="X124" s="44">
        <f t="shared" si="239"/>
        <v>1278.28191883115</v>
      </c>
      <c r="Y124" s="76">
        <v>12095</v>
      </c>
      <c r="Z124" s="103">
        <f t="shared" si="240"/>
        <v>0.141343424787133</v>
      </c>
      <c r="AA124" s="44">
        <f t="shared" si="241"/>
        <v>1964.65461804463</v>
      </c>
      <c r="AB124" s="44"/>
      <c r="AC124" s="44"/>
      <c r="AD124" s="44"/>
      <c r="AE124" s="76"/>
      <c r="AF124" s="44"/>
      <c r="AG124" s="44">
        <f>VLOOKUP(B:B,[2]Sheet2!$B:$E,4,0)</f>
        <v>5</v>
      </c>
      <c r="AH124" s="44">
        <f t="shared" si="242"/>
        <v>50.1504513540622</v>
      </c>
      <c r="AI124" s="44"/>
      <c r="AJ124" s="115">
        <f>VLOOKUP(B:B,'[1]扶贫资金项目情况调度统计表 (2)'!$B:$I,8,0)</f>
        <v>0.822249727371865</v>
      </c>
      <c r="AK124" s="44">
        <f t="shared" si="243"/>
        <v>252.266060635895</v>
      </c>
      <c r="AL124" s="76">
        <v>89.13</v>
      </c>
      <c r="AM124" s="44">
        <f t="shared" si="244"/>
        <v>248.157829055088</v>
      </c>
      <c r="AN124" s="67">
        <f t="shared" si="245"/>
        <v>3794</v>
      </c>
      <c r="AO124" s="44" t="e">
        <f>#REF!*1254933/1408452</f>
        <v>#REF!</v>
      </c>
      <c r="AP124" s="44" t="e">
        <f t="shared" si="137"/>
        <v>#REF!</v>
      </c>
      <c r="AQ124" s="126" t="e">
        <f t="shared" si="138"/>
        <v>#REF!</v>
      </c>
      <c r="AR124" s="44">
        <v>0</v>
      </c>
      <c r="AS124" s="44">
        <v>0</v>
      </c>
      <c r="AT124" s="44">
        <v>267</v>
      </c>
      <c r="AU124" s="127">
        <f t="shared" si="232"/>
        <v>4061</v>
      </c>
    </row>
    <row r="125" ht="17" customHeight="1" spans="1:47">
      <c r="A125" s="31">
        <v>80</v>
      </c>
      <c r="B125" s="51" t="s">
        <v>168</v>
      </c>
      <c r="C125" s="31" t="s">
        <v>90</v>
      </c>
      <c r="D125" s="31">
        <v>2017</v>
      </c>
      <c r="E125" s="31"/>
      <c r="F125" s="31"/>
      <c r="G125" s="44">
        <v>4736</v>
      </c>
      <c r="H125" s="44"/>
      <c r="I125" s="44"/>
      <c r="J125" s="75">
        <v>10255</v>
      </c>
      <c r="K125" s="76">
        <f t="shared" si="226"/>
        <v>4102</v>
      </c>
      <c r="L125" s="76">
        <f t="shared" si="227"/>
        <v>0</v>
      </c>
      <c r="M125" s="76">
        <f t="shared" si="228"/>
        <v>4102</v>
      </c>
      <c r="N125" s="76">
        <f t="shared" si="229"/>
        <v>0</v>
      </c>
      <c r="O125" s="76">
        <f t="shared" si="230"/>
        <v>0</v>
      </c>
      <c r="P125" s="76">
        <f t="shared" si="231"/>
        <v>0</v>
      </c>
      <c r="Q125" s="44">
        <v>2278</v>
      </c>
      <c r="R125" s="76">
        <v>2106</v>
      </c>
      <c r="S125" s="76">
        <f t="shared" si="237"/>
        <v>1263.6</v>
      </c>
      <c r="T125" s="76"/>
      <c r="U125" s="76">
        <f t="shared" si="238"/>
        <v>1263.6</v>
      </c>
      <c r="V125" s="76"/>
      <c r="W125" s="76"/>
      <c r="X125" s="44">
        <f t="shared" si="239"/>
        <v>472.195703233109</v>
      </c>
      <c r="Y125" s="76">
        <v>12243</v>
      </c>
      <c r="Z125" s="103">
        <f t="shared" si="240"/>
        <v>0.113339640491958</v>
      </c>
      <c r="AA125" s="44">
        <f t="shared" si="241"/>
        <v>1575.40577805721</v>
      </c>
      <c r="AB125" s="44"/>
      <c r="AC125" s="44"/>
      <c r="AD125" s="44"/>
      <c r="AE125" s="76"/>
      <c r="AF125" s="44"/>
      <c r="AG125" s="44">
        <f>VLOOKUP(B:B,[2]Sheet2!$B:$E,4,0)</f>
        <v>5</v>
      </c>
      <c r="AH125" s="44">
        <f t="shared" si="242"/>
        <v>50.1504513540622</v>
      </c>
      <c r="AI125" s="44"/>
      <c r="AJ125" s="115">
        <f>VLOOKUP(B:B,'[1]扶贫资金项目情况调度统计表 (2)'!$B:$I,8,0)</f>
        <v>0.883753300545803</v>
      </c>
      <c r="AK125" s="44">
        <f t="shared" si="243"/>
        <v>271.135345237803</v>
      </c>
      <c r="AL125" s="76">
        <v>91.09</v>
      </c>
      <c r="AM125" s="44">
        <f t="shared" si="244"/>
        <v>253.614906862201</v>
      </c>
      <c r="AN125" s="67">
        <f t="shared" si="245"/>
        <v>2623</v>
      </c>
      <c r="AO125" s="44" t="e">
        <f>#REF!*1254933/1408452</f>
        <v>#REF!</v>
      </c>
      <c r="AP125" s="44" t="e">
        <f t="shared" si="137"/>
        <v>#REF!</v>
      </c>
      <c r="AQ125" s="126" t="e">
        <f t="shared" si="138"/>
        <v>#REF!</v>
      </c>
      <c r="AR125" s="44">
        <v>500</v>
      </c>
      <c r="AS125" s="44">
        <v>0</v>
      </c>
      <c r="AT125" s="44">
        <v>0</v>
      </c>
      <c r="AU125" s="127">
        <f t="shared" si="232"/>
        <v>3123</v>
      </c>
    </row>
    <row r="126" ht="17" customHeight="1" spans="1:47">
      <c r="A126" s="31">
        <v>81</v>
      </c>
      <c r="B126" s="51" t="s">
        <v>169</v>
      </c>
      <c r="C126" s="31" t="s">
        <v>90</v>
      </c>
      <c r="D126" s="31">
        <v>2018</v>
      </c>
      <c r="E126" s="31"/>
      <c r="F126" s="31"/>
      <c r="G126" s="44">
        <v>5261</v>
      </c>
      <c r="H126" s="44"/>
      <c r="I126" s="44"/>
      <c r="J126" s="75">
        <v>25551</v>
      </c>
      <c r="K126" s="76">
        <f t="shared" si="226"/>
        <v>15330.6</v>
      </c>
      <c r="L126" s="76">
        <f t="shared" si="227"/>
        <v>0</v>
      </c>
      <c r="M126" s="76">
        <f t="shared" si="228"/>
        <v>0</v>
      </c>
      <c r="N126" s="76">
        <f t="shared" si="229"/>
        <v>15330.6</v>
      </c>
      <c r="O126" s="76">
        <f t="shared" si="230"/>
        <v>0</v>
      </c>
      <c r="P126" s="76">
        <f t="shared" si="231"/>
        <v>0</v>
      </c>
      <c r="Q126" s="44">
        <v>3794</v>
      </c>
      <c r="R126" s="76">
        <v>5198</v>
      </c>
      <c r="S126" s="76">
        <f t="shared" si="237"/>
        <v>4158.4</v>
      </c>
      <c r="T126" s="76"/>
      <c r="U126" s="76"/>
      <c r="V126" s="76">
        <f t="shared" si="246"/>
        <v>4158.4</v>
      </c>
      <c r="W126" s="76"/>
      <c r="X126" s="44">
        <f t="shared" si="239"/>
        <v>1371.19200595433</v>
      </c>
      <c r="Y126" s="76">
        <v>12564</v>
      </c>
      <c r="Z126" s="103">
        <f t="shared" si="240"/>
        <v>0.0526017029328288</v>
      </c>
      <c r="AA126" s="44">
        <f t="shared" si="241"/>
        <v>731.156604841245</v>
      </c>
      <c r="AB126" s="44"/>
      <c r="AC126" s="44"/>
      <c r="AD126" s="44"/>
      <c r="AE126" s="76"/>
      <c r="AF126" s="44"/>
      <c r="AG126" s="44">
        <f>VLOOKUP(B:B,[2]Sheet2!$B:$E,4,0)</f>
        <v>6</v>
      </c>
      <c r="AH126" s="44">
        <f t="shared" si="242"/>
        <v>60.1805416248746</v>
      </c>
      <c r="AI126" s="44"/>
      <c r="AJ126" s="115">
        <f>VLOOKUP(B:B,'[1]扶贫资金项目情况调度统计表 (2)'!$B:$I,8,0)</f>
        <v>0.720819066437494</v>
      </c>
      <c r="AK126" s="44">
        <f t="shared" si="243"/>
        <v>221.147153070679</v>
      </c>
      <c r="AL126" s="76">
        <v>92.64</v>
      </c>
      <c r="AM126" s="44">
        <f t="shared" si="244"/>
        <v>257.930453087214</v>
      </c>
      <c r="AN126" s="67">
        <f t="shared" si="245"/>
        <v>2642</v>
      </c>
      <c r="AO126" s="44" t="e">
        <f>#REF!*1254933/1408452</f>
        <v>#REF!</v>
      </c>
      <c r="AP126" s="44" t="e">
        <f t="shared" si="137"/>
        <v>#REF!</v>
      </c>
      <c r="AQ126" s="126" t="e">
        <f t="shared" si="138"/>
        <v>#REF!</v>
      </c>
      <c r="AR126" s="44">
        <v>0</v>
      </c>
      <c r="AS126" s="44">
        <v>0</v>
      </c>
      <c r="AT126" s="44">
        <v>0</v>
      </c>
      <c r="AU126" s="127">
        <f t="shared" si="232"/>
        <v>2642</v>
      </c>
    </row>
    <row r="127" ht="17" customHeight="1" spans="1:47">
      <c r="A127" s="31">
        <v>82</v>
      </c>
      <c r="B127" s="51" t="s">
        <v>170</v>
      </c>
      <c r="C127" s="31" t="s">
        <v>90</v>
      </c>
      <c r="D127" s="31">
        <v>2017</v>
      </c>
      <c r="E127" s="31"/>
      <c r="F127" s="31"/>
      <c r="G127" s="44">
        <v>4568</v>
      </c>
      <c r="H127" s="44"/>
      <c r="I127" s="44"/>
      <c r="J127" s="75">
        <v>22690</v>
      </c>
      <c r="K127" s="76">
        <f t="shared" si="226"/>
        <v>9076</v>
      </c>
      <c r="L127" s="76">
        <f t="shared" si="227"/>
        <v>0</v>
      </c>
      <c r="M127" s="76">
        <f t="shared" si="228"/>
        <v>9076</v>
      </c>
      <c r="N127" s="76">
        <f t="shared" si="229"/>
        <v>0</v>
      </c>
      <c r="O127" s="76">
        <f t="shared" si="230"/>
        <v>0</v>
      </c>
      <c r="P127" s="76">
        <f t="shared" si="231"/>
        <v>0</v>
      </c>
      <c r="Q127" s="44">
        <v>2081</v>
      </c>
      <c r="R127" s="76">
        <v>2771</v>
      </c>
      <c r="S127" s="76">
        <f t="shared" si="237"/>
        <v>1662.6</v>
      </c>
      <c r="T127" s="76"/>
      <c r="U127" s="76">
        <f t="shared" si="238"/>
        <v>1662.6</v>
      </c>
      <c r="V127" s="76"/>
      <c r="W127" s="76"/>
      <c r="X127" s="44">
        <f t="shared" si="239"/>
        <v>745.450235975935</v>
      </c>
      <c r="Y127" s="76">
        <v>12890</v>
      </c>
      <c r="Z127" s="103">
        <f t="shared" si="240"/>
        <v>0</v>
      </c>
      <c r="AA127" s="44">
        <f t="shared" si="241"/>
        <v>0</v>
      </c>
      <c r="AB127" s="44"/>
      <c r="AC127" s="44"/>
      <c r="AD127" s="44"/>
      <c r="AE127" s="76"/>
      <c r="AF127" s="44"/>
      <c r="AG127" s="44">
        <f>VLOOKUP(B:B,[2]Sheet2!$B:$E,4,0)</f>
        <v>7</v>
      </c>
      <c r="AH127" s="44">
        <f t="shared" si="242"/>
        <v>70.2106318956871</v>
      </c>
      <c r="AI127" s="44"/>
      <c r="AJ127" s="115">
        <f>VLOOKUP(B:B,'[1]扶贫资金项目情况调度统计表 (2)'!$B:$I,8,0)</f>
        <v>0.889837223032895</v>
      </c>
      <c r="AK127" s="44">
        <f t="shared" si="243"/>
        <v>273.001891504639</v>
      </c>
      <c r="AL127" s="76">
        <v>93.33</v>
      </c>
      <c r="AM127" s="44">
        <f t="shared" si="244"/>
        <v>259.851567213188</v>
      </c>
      <c r="AN127" s="67">
        <f t="shared" si="245"/>
        <v>1349</v>
      </c>
      <c r="AO127" s="44" t="e">
        <f>#REF!*1254933/1408452</f>
        <v>#REF!</v>
      </c>
      <c r="AP127" s="44" t="e">
        <f t="shared" si="137"/>
        <v>#REF!</v>
      </c>
      <c r="AQ127" s="126" t="e">
        <f t="shared" si="138"/>
        <v>#REF!</v>
      </c>
      <c r="AR127" s="44">
        <v>0</v>
      </c>
      <c r="AS127" s="44">
        <v>0</v>
      </c>
      <c r="AT127" s="44">
        <v>0</v>
      </c>
      <c r="AU127" s="127">
        <f t="shared" si="232"/>
        <v>1349</v>
      </c>
    </row>
    <row r="128" ht="17" customHeight="1" spans="1:47">
      <c r="A128" s="31">
        <v>83</v>
      </c>
      <c r="B128" s="51" t="s">
        <v>171</v>
      </c>
      <c r="C128" s="31" t="s">
        <v>90</v>
      </c>
      <c r="D128" s="31">
        <v>2018</v>
      </c>
      <c r="E128" s="31"/>
      <c r="F128" s="31"/>
      <c r="G128" s="44">
        <v>6086</v>
      </c>
      <c r="H128" s="44"/>
      <c r="I128" s="44"/>
      <c r="J128" s="75">
        <v>36343</v>
      </c>
      <c r="K128" s="76">
        <f t="shared" si="226"/>
        <v>21805.8</v>
      </c>
      <c r="L128" s="76">
        <f t="shared" si="227"/>
        <v>0</v>
      </c>
      <c r="M128" s="76">
        <f t="shared" si="228"/>
        <v>0</v>
      </c>
      <c r="N128" s="76">
        <f t="shared" si="229"/>
        <v>21805.8</v>
      </c>
      <c r="O128" s="76">
        <f t="shared" si="230"/>
        <v>0</v>
      </c>
      <c r="P128" s="76">
        <f t="shared" si="231"/>
        <v>0</v>
      </c>
      <c r="Q128" s="44">
        <v>4488</v>
      </c>
      <c r="R128" s="76">
        <v>9495</v>
      </c>
      <c r="S128" s="76">
        <f t="shared" si="237"/>
        <v>7596</v>
      </c>
      <c r="T128" s="76"/>
      <c r="U128" s="76"/>
      <c r="V128" s="76">
        <f t="shared" si="246"/>
        <v>7596</v>
      </c>
      <c r="W128" s="76"/>
      <c r="X128" s="44">
        <f t="shared" si="239"/>
        <v>1995.24843675588</v>
      </c>
      <c r="Y128" s="76">
        <v>12484</v>
      </c>
      <c r="Z128" s="103">
        <f t="shared" si="240"/>
        <v>0.0677388836329234</v>
      </c>
      <c r="AA128" s="44">
        <f t="shared" si="241"/>
        <v>941.561383212826</v>
      </c>
      <c r="AB128" s="44"/>
      <c r="AC128" s="44"/>
      <c r="AD128" s="44"/>
      <c r="AE128" s="76"/>
      <c r="AF128" s="44"/>
      <c r="AG128" s="44">
        <f>VLOOKUP(B:B,[2]Sheet2!$B:$E,4,0)</f>
        <v>7</v>
      </c>
      <c r="AH128" s="44">
        <f t="shared" si="242"/>
        <v>70.2106318956871</v>
      </c>
      <c r="AI128" s="44"/>
      <c r="AJ128" s="115">
        <f>VLOOKUP(B:B,'[1]扶贫资金项目情况调度统计表 (2)'!$B:$I,8,0)</f>
        <v>0.797650637650638</v>
      </c>
      <c r="AK128" s="44">
        <f t="shared" si="243"/>
        <v>244.719064568122</v>
      </c>
      <c r="AL128" s="76">
        <v>92.58</v>
      </c>
      <c r="AM128" s="44">
        <f t="shared" si="244"/>
        <v>257.763399684956</v>
      </c>
      <c r="AN128" s="67">
        <f t="shared" si="245"/>
        <v>3510</v>
      </c>
      <c r="AO128" s="44" t="e">
        <f>#REF!*1254933/1408452</f>
        <v>#REF!</v>
      </c>
      <c r="AP128" s="44" t="e">
        <f t="shared" si="137"/>
        <v>#REF!</v>
      </c>
      <c r="AQ128" s="126" t="e">
        <f t="shared" si="138"/>
        <v>#REF!</v>
      </c>
      <c r="AR128" s="44">
        <v>0</v>
      </c>
      <c r="AS128" s="44">
        <v>0</v>
      </c>
      <c r="AT128" s="44">
        <v>0</v>
      </c>
      <c r="AU128" s="127">
        <f t="shared" si="232"/>
        <v>3510</v>
      </c>
    </row>
    <row r="129" ht="17" customHeight="1" spans="1:47">
      <c r="A129" s="31">
        <v>84</v>
      </c>
      <c r="B129" s="51" t="s">
        <v>172</v>
      </c>
      <c r="C129" s="31" t="s">
        <v>90</v>
      </c>
      <c r="D129" s="31">
        <v>2018</v>
      </c>
      <c r="E129" s="31"/>
      <c r="F129" s="31"/>
      <c r="G129" s="44">
        <v>6005</v>
      </c>
      <c r="H129" s="44"/>
      <c r="I129" s="44"/>
      <c r="J129" s="75">
        <v>20962</v>
      </c>
      <c r="K129" s="76">
        <f t="shared" si="226"/>
        <v>12577.2</v>
      </c>
      <c r="L129" s="76">
        <f t="shared" si="227"/>
        <v>0</v>
      </c>
      <c r="M129" s="76">
        <f t="shared" si="228"/>
        <v>0</v>
      </c>
      <c r="N129" s="76">
        <f t="shared" si="229"/>
        <v>12577.2</v>
      </c>
      <c r="O129" s="76">
        <f t="shared" si="230"/>
        <v>0</v>
      </c>
      <c r="P129" s="76">
        <f t="shared" si="231"/>
        <v>0</v>
      </c>
      <c r="Q129" s="44">
        <v>3031</v>
      </c>
      <c r="R129" s="76">
        <v>2322</v>
      </c>
      <c r="S129" s="76">
        <f t="shared" si="237"/>
        <v>1393.2</v>
      </c>
      <c r="T129" s="76"/>
      <c r="U129" s="76">
        <f>R129*0.6</f>
        <v>1393.2</v>
      </c>
      <c r="V129" s="76"/>
      <c r="W129" s="76"/>
      <c r="X129" s="44">
        <f t="shared" si="239"/>
        <v>982.708272242591</v>
      </c>
      <c r="Y129" s="76">
        <v>11922</v>
      </c>
      <c r="Z129" s="103">
        <f t="shared" si="240"/>
        <v>0.174077578051088</v>
      </c>
      <c r="AA129" s="44">
        <f t="shared" si="241"/>
        <v>2419.65495127318</v>
      </c>
      <c r="AB129" s="44"/>
      <c r="AC129" s="44"/>
      <c r="AD129" s="44"/>
      <c r="AE129" s="76"/>
      <c r="AF129" s="44"/>
      <c r="AG129" s="44">
        <f>VLOOKUP(B:B,[2]Sheet2!$B:$E,4,0)</f>
        <v>6</v>
      </c>
      <c r="AH129" s="44">
        <f t="shared" si="242"/>
        <v>60.1805416248746</v>
      </c>
      <c r="AI129" s="44"/>
      <c r="AJ129" s="115">
        <f>VLOOKUP(B:B,'[1]扶贫资金项目情况调度统计表 (2)'!$B:$I,8,0)</f>
        <v>0.92425544980043</v>
      </c>
      <c r="AK129" s="44">
        <f t="shared" si="243"/>
        <v>283.561396958622</v>
      </c>
      <c r="AL129" s="76">
        <v>91.02</v>
      </c>
      <c r="AM129" s="44">
        <f t="shared" si="244"/>
        <v>253.420011226233</v>
      </c>
      <c r="AN129" s="67">
        <f t="shared" si="245"/>
        <v>4000</v>
      </c>
      <c r="AO129" s="44" t="e">
        <f>#REF!*1254933/1408452</f>
        <v>#REF!</v>
      </c>
      <c r="AP129" s="44" t="e">
        <f t="shared" si="137"/>
        <v>#REF!</v>
      </c>
      <c r="AQ129" s="126" t="e">
        <f t="shared" si="138"/>
        <v>#REF!</v>
      </c>
      <c r="AR129" s="44">
        <v>0</v>
      </c>
      <c r="AS129" s="44">
        <v>0</v>
      </c>
      <c r="AT129" s="44">
        <v>0</v>
      </c>
      <c r="AU129" s="127">
        <f t="shared" si="232"/>
        <v>4000</v>
      </c>
    </row>
    <row r="130" ht="17" customHeight="1" spans="1:47">
      <c r="A130" s="31">
        <v>85</v>
      </c>
      <c r="B130" s="51" t="s">
        <v>173</v>
      </c>
      <c r="C130" s="31" t="s">
        <v>78</v>
      </c>
      <c r="D130" s="31"/>
      <c r="E130" s="31"/>
      <c r="F130" s="31"/>
      <c r="G130" s="44">
        <v>3586</v>
      </c>
      <c r="H130" s="44"/>
      <c r="I130" s="44"/>
      <c r="J130" s="75">
        <v>18733</v>
      </c>
      <c r="K130" s="76">
        <f t="shared" si="226"/>
        <v>3746.6</v>
      </c>
      <c r="L130" s="76">
        <f t="shared" si="227"/>
        <v>3746.6</v>
      </c>
      <c r="M130" s="76">
        <f t="shared" si="228"/>
        <v>0</v>
      </c>
      <c r="N130" s="76">
        <f t="shared" si="229"/>
        <v>0</v>
      </c>
      <c r="O130" s="76">
        <f t="shared" si="230"/>
        <v>0</v>
      </c>
      <c r="P130" s="76">
        <f t="shared" si="231"/>
        <v>0</v>
      </c>
      <c r="Q130" s="44">
        <v>2225</v>
      </c>
      <c r="R130" s="76">
        <v>3836</v>
      </c>
      <c r="S130" s="76">
        <f t="shared" si="237"/>
        <v>3068.8</v>
      </c>
      <c r="T130" s="76"/>
      <c r="U130" s="76"/>
      <c r="V130" s="76">
        <f t="shared" ref="V130:V132" si="247">R130*0.8</f>
        <v>3068.8</v>
      </c>
      <c r="W130" s="76"/>
      <c r="X130" s="44">
        <f t="shared" si="239"/>
        <v>571.240047134417</v>
      </c>
      <c r="Y130" s="76">
        <v>14671</v>
      </c>
      <c r="Z130" s="103">
        <f t="shared" si="240"/>
        <v>0</v>
      </c>
      <c r="AA130" s="44">
        <f t="shared" si="241"/>
        <v>0</v>
      </c>
      <c r="AB130" s="44"/>
      <c r="AC130" s="44"/>
      <c r="AD130" s="44"/>
      <c r="AE130" s="76"/>
      <c r="AF130" s="44"/>
      <c r="AG130" s="44">
        <f>VLOOKUP(B:B,[2]Sheet2!$B:$E,4,0)</f>
        <v>8</v>
      </c>
      <c r="AH130" s="44">
        <f t="shared" si="242"/>
        <v>80.2407221664995</v>
      </c>
      <c r="AI130" s="44"/>
      <c r="AJ130" s="115">
        <f>VLOOKUP(B:B,'[1]扶贫资金项目情况调度统计表 (2)'!$B:$I,8,0)</f>
        <v>0.840607449889209</v>
      </c>
      <c r="AK130" s="44">
        <f t="shared" si="243"/>
        <v>257.898206427538</v>
      </c>
      <c r="AL130" s="76">
        <v>91.4</v>
      </c>
      <c r="AM130" s="44">
        <f t="shared" si="244"/>
        <v>254.478016107204</v>
      </c>
      <c r="AN130" s="67">
        <f t="shared" si="245"/>
        <v>1164</v>
      </c>
      <c r="AO130" s="44" t="e">
        <f>#REF!*1254933/1408452</f>
        <v>#REF!</v>
      </c>
      <c r="AP130" s="44" t="e">
        <f t="shared" si="137"/>
        <v>#REF!</v>
      </c>
      <c r="AQ130" s="126" t="e">
        <f t="shared" si="138"/>
        <v>#REF!</v>
      </c>
      <c r="AR130" s="44">
        <v>0</v>
      </c>
      <c r="AS130" s="44">
        <v>0</v>
      </c>
      <c r="AT130" s="44">
        <v>0</v>
      </c>
      <c r="AU130" s="127">
        <f t="shared" si="232"/>
        <v>1164</v>
      </c>
    </row>
    <row r="131" ht="17" customHeight="1" spans="1:47">
      <c r="A131" s="31">
        <v>86</v>
      </c>
      <c r="B131" s="51" t="s">
        <v>174</v>
      </c>
      <c r="C131" s="31" t="s">
        <v>93</v>
      </c>
      <c r="D131" s="31">
        <v>2019</v>
      </c>
      <c r="E131" s="31" t="s">
        <v>94</v>
      </c>
      <c r="F131" s="31"/>
      <c r="G131" s="44">
        <v>19254</v>
      </c>
      <c r="H131" s="44"/>
      <c r="I131" s="44"/>
      <c r="J131" s="75">
        <v>95507</v>
      </c>
      <c r="K131" s="76">
        <f t="shared" si="226"/>
        <v>76405.6</v>
      </c>
      <c r="L131" s="76">
        <f t="shared" si="227"/>
        <v>0</v>
      </c>
      <c r="M131" s="76">
        <f t="shared" si="228"/>
        <v>0</v>
      </c>
      <c r="N131" s="76">
        <f t="shared" si="229"/>
        <v>0</v>
      </c>
      <c r="O131" s="76">
        <f t="shared" si="230"/>
        <v>76405.6</v>
      </c>
      <c r="P131" s="76">
        <f t="shared" si="231"/>
        <v>0</v>
      </c>
      <c r="Q131" s="44">
        <v>10525</v>
      </c>
      <c r="R131" s="76">
        <v>9638</v>
      </c>
      <c r="S131" s="76">
        <f t="shared" si="237"/>
        <v>7710.4</v>
      </c>
      <c r="T131" s="76"/>
      <c r="U131" s="76"/>
      <c r="V131" s="76">
        <f t="shared" si="247"/>
        <v>7710.4</v>
      </c>
      <c r="W131" s="76"/>
      <c r="X131" s="44">
        <f t="shared" si="239"/>
        <v>5324.88813947402</v>
      </c>
      <c r="Y131" s="76">
        <v>11916</v>
      </c>
      <c r="Z131" s="103">
        <f t="shared" si="240"/>
        <v>0.175212866603595</v>
      </c>
      <c r="AA131" s="44">
        <f t="shared" si="241"/>
        <v>2435.43530965105</v>
      </c>
      <c r="AB131" s="44"/>
      <c r="AC131" s="44"/>
      <c r="AD131" s="44">
        <v>1800</v>
      </c>
      <c r="AE131" s="76">
        <f>K131</f>
        <v>76405.6</v>
      </c>
      <c r="AF131" s="44">
        <f>AE131/$AE$10*372626.55</f>
        <v>7958.84787360153</v>
      </c>
      <c r="AG131" s="44">
        <f>VLOOKUP(B:B,[2]Sheet2!$B:$E,4,0)</f>
        <v>5</v>
      </c>
      <c r="AH131" s="44">
        <f t="shared" si="242"/>
        <v>50.1504513540622</v>
      </c>
      <c r="AI131" s="44"/>
      <c r="AJ131" s="115">
        <f>VLOOKUP(B:B,'[1]扶贫资金项目情况调度统计表 (2)'!$B:$I,8,0)</f>
        <v>0.797125720510775</v>
      </c>
      <c r="AK131" s="44">
        <f t="shared" si="243"/>
        <v>244.558020089024</v>
      </c>
      <c r="AL131" s="76">
        <v>79.79</v>
      </c>
      <c r="AM131" s="44">
        <f t="shared" si="244"/>
        <v>222.153182770173</v>
      </c>
      <c r="AN131" s="67">
        <f t="shared" si="245"/>
        <v>18036</v>
      </c>
      <c r="AO131" s="44" t="e">
        <f>#REF!*1254933/1408452</f>
        <v>#REF!</v>
      </c>
      <c r="AP131" s="44" t="e">
        <f t="shared" si="137"/>
        <v>#REF!</v>
      </c>
      <c r="AQ131" s="126" t="e">
        <f t="shared" si="138"/>
        <v>#REF!</v>
      </c>
      <c r="AR131" s="44">
        <v>0</v>
      </c>
      <c r="AS131" s="44">
        <v>0</v>
      </c>
      <c r="AT131" s="44">
        <v>0</v>
      </c>
      <c r="AU131" s="127">
        <f t="shared" si="232"/>
        <v>18036</v>
      </c>
    </row>
    <row r="132" ht="17" customHeight="1" spans="1:47">
      <c r="A132" s="31">
        <v>87</v>
      </c>
      <c r="B132" s="51" t="s">
        <v>175</v>
      </c>
      <c r="C132" s="31" t="s">
        <v>78</v>
      </c>
      <c r="D132" s="31"/>
      <c r="E132" s="31"/>
      <c r="F132" s="31"/>
      <c r="G132" s="44">
        <v>3256</v>
      </c>
      <c r="H132" s="44"/>
      <c r="I132" s="44"/>
      <c r="J132" s="75">
        <v>24287</v>
      </c>
      <c r="K132" s="76">
        <f t="shared" si="226"/>
        <v>4857.4</v>
      </c>
      <c r="L132" s="76">
        <f t="shared" si="227"/>
        <v>4857.4</v>
      </c>
      <c r="M132" s="76">
        <f t="shared" si="228"/>
        <v>0</v>
      </c>
      <c r="N132" s="76">
        <f t="shared" si="229"/>
        <v>0</v>
      </c>
      <c r="O132" s="76">
        <f t="shared" si="230"/>
        <v>0</v>
      </c>
      <c r="P132" s="76">
        <f t="shared" si="231"/>
        <v>0</v>
      </c>
      <c r="Q132" s="44">
        <v>2811</v>
      </c>
      <c r="R132" s="76">
        <v>4811</v>
      </c>
      <c r="S132" s="76">
        <f t="shared" si="237"/>
        <v>3848.8</v>
      </c>
      <c r="T132" s="76"/>
      <c r="U132" s="76"/>
      <c r="V132" s="76">
        <f t="shared" si="247"/>
        <v>3848.8</v>
      </c>
      <c r="W132" s="76"/>
      <c r="X132" s="44">
        <f t="shared" si="239"/>
        <v>726.299076072949</v>
      </c>
      <c r="Y132" s="76">
        <v>14035</v>
      </c>
      <c r="Z132" s="103">
        <f t="shared" si="240"/>
        <v>0</v>
      </c>
      <c r="AA132" s="44">
        <f t="shared" si="241"/>
        <v>0</v>
      </c>
      <c r="AB132" s="44"/>
      <c r="AC132" s="44"/>
      <c r="AD132" s="44"/>
      <c r="AE132" s="76"/>
      <c r="AF132" s="44"/>
      <c r="AG132" s="44">
        <f>VLOOKUP(B:B,[2]Sheet2!$B:$E,4,0)</f>
        <v>6</v>
      </c>
      <c r="AH132" s="44">
        <f t="shared" si="242"/>
        <v>60.1805416248746</v>
      </c>
      <c r="AI132" s="44"/>
      <c r="AJ132" s="115">
        <f>VLOOKUP(B:B,'[1]扶贫资金项目情况调度统计表 (2)'!$B:$I,8,0)</f>
        <v>0.7212204103714</v>
      </c>
      <c r="AK132" s="44">
        <f t="shared" si="243"/>
        <v>221.270285313593</v>
      </c>
      <c r="AL132" s="76">
        <v>89.52</v>
      </c>
      <c r="AM132" s="44">
        <f t="shared" si="244"/>
        <v>249.243676169769</v>
      </c>
      <c r="AN132" s="67">
        <f t="shared" si="245"/>
        <v>1257</v>
      </c>
      <c r="AO132" s="44" t="e">
        <f>#REF!*1254933/1408452</f>
        <v>#REF!</v>
      </c>
      <c r="AP132" s="44" t="e">
        <f t="shared" si="137"/>
        <v>#REF!</v>
      </c>
      <c r="AQ132" s="126" t="e">
        <f t="shared" si="138"/>
        <v>#REF!</v>
      </c>
      <c r="AR132" s="44">
        <v>0</v>
      </c>
      <c r="AS132" s="44">
        <v>0</v>
      </c>
      <c r="AT132" s="44">
        <v>0</v>
      </c>
      <c r="AU132" s="127">
        <f t="shared" si="232"/>
        <v>1257</v>
      </c>
    </row>
    <row r="133" s="6" customFormat="1" ht="17" customHeight="1" spans="1:85">
      <c r="A133" s="39"/>
      <c r="B133" s="40" t="s">
        <v>176</v>
      </c>
      <c r="C133" s="41">
        <v>1</v>
      </c>
      <c r="D133" s="41"/>
      <c r="E133" s="41"/>
      <c r="F133" s="41"/>
      <c r="G133" s="43">
        <v>92603</v>
      </c>
      <c r="H133" s="43">
        <f>H134+H135</f>
        <v>0</v>
      </c>
      <c r="I133" s="43">
        <f>I134+I135</f>
        <v>0</v>
      </c>
      <c r="J133" s="54">
        <f t="shared" ref="J133:X133" si="248">J134+J135</f>
        <v>392543</v>
      </c>
      <c r="K133" s="77">
        <f t="shared" si="248"/>
        <v>226634.8</v>
      </c>
      <c r="L133" s="77">
        <f t="shared" si="248"/>
        <v>2894.2</v>
      </c>
      <c r="M133" s="77">
        <f t="shared" si="248"/>
        <v>60852</v>
      </c>
      <c r="N133" s="77">
        <f t="shared" si="248"/>
        <v>53595</v>
      </c>
      <c r="O133" s="77">
        <f t="shared" si="248"/>
        <v>109293.6</v>
      </c>
      <c r="P133" s="77">
        <f t="shared" si="248"/>
        <v>0</v>
      </c>
      <c r="Q133" s="43">
        <v>36980</v>
      </c>
      <c r="R133" s="77">
        <f t="shared" si="248"/>
        <v>17911</v>
      </c>
      <c r="S133" s="77">
        <f t="shared" si="248"/>
        <v>11488</v>
      </c>
      <c r="T133" s="77">
        <f t="shared" si="248"/>
        <v>372</v>
      </c>
      <c r="U133" s="77">
        <f t="shared" si="248"/>
        <v>7406.4</v>
      </c>
      <c r="V133" s="77">
        <f t="shared" si="248"/>
        <v>3709.6</v>
      </c>
      <c r="W133" s="77">
        <f t="shared" si="248"/>
        <v>0</v>
      </c>
      <c r="X133" s="43">
        <f t="shared" si="248"/>
        <v>15461.3007753526</v>
      </c>
      <c r="Y133" s="77"/>
      <c r="Z133" s="104">
        <f t="shared" ref="Z133:AD133" si="249">Z134+Z135</f>
        <v>1.48003784295175</v>
      </c>
      <c r="AA133" s="43">
        <f t="shared" si="249"/>
        <v>20572.3272052814</v>
      </c>
      <c r="AB133" s="43">
        <v>0</v>
      </c>
      <c r="AC133" s="43">
        <f t="shared" si="249"/>
        <v>0</v>
      </c>
      <c r="AD133" s="43">
        <f t="shared" si="249"/>
        <v>0</v>
      </c>
      <c r="AE133" s="54">
        <f t="shared" ref="AE133:AI133" si="250">AE134+AE135</f>
        <v>105838.56</v>
      </c>
      <c r="AF133" s="43">
        <f t="shared" si="250"/>
        <v>11024.754706475</v>
      </c>
      <c r="AG133" s="43">
        <f t="shared" si="250"/>
        <v>81</v>
      </c>
      <c r="AH133" s="43">
        <f t="shared" si="250"/>
        <v>812.437311935807</v>
      </c>
      <c r="AI133" s="43">
        <f t="shared" si="250"/>
        <v>8000</v>
      </c>
      <c r="AJ133" s="118"/>
      <c r="AK133" s="43">
        <f t="shared" ref="AK133:AO133" si="251">AK134+AK135</f>
        <v>2704.93108280831</v>
      </c>
      <c r="AL133" s="54">
        <f t="shared" si="251"/>
        <v>1098.49</v>
      </c>
      <c r="AM133" s="43">
        <f t="shared" si="251"/>
        <v>3058.4415307834</v>
      </c>
      <c r="AN133" s="119">
        <f t="shared" si="251"/>
        <v>61635</v>
      </c>
      <c r="AO133" s="43" t="e">
        <f t="shared" si="251"/>
        <v>#REF!</v>
      </c>
      <c r="AP133" s="86" t="e">
        <f t="shared" si="137"/>
        <v>#REF!</v>
      </c>
      <c r="AQ133" s="125" t="e">
        <f t="shared" si="138"/>
        <v>#REF!</v>
      </c>
      <c r="AR133" s="43">
        <v>3103</v>
      </c>
      <c r="AS133" s="43">
        <v>0</v>
      </c>
      <c r="AT133" s="43">
        <v>360</v>
      </c>
      <c r="AU133" s="43">
        <f>AU134+AU135</f>
        <v>65098</v>
      </c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</row>
    <row r="134" ht="17" customHeight="1" spans="1:47">
      <c r="A134" s="29"/>
      <c r="B134" s="30" t="s">
        <v>177</v>
      </c>
      <c r="C134" s="31">
        <v>2</v>
      </c>
      <c r="D134" s="31"/>
      <c r="E134" s="31"/>
      <c r="F134" s="31"/>
      <c r="G134" s="44">
        <v>586</v>
      </c>
      <c r="H134" s="44"/>
      <c r="I134" s="44"/>
      <c r="J134" s="75"/>
      <c r="K134" s="76">
        <f t="shared" ref="K134:K147" si="252">SUM(L134:P134)</f>
        <v>0</v>
      </c>
      <c r="L134" s="76">
        <f t="shared" ref="L134:L147" si="253">IF(D134="",J134*0.2,0)</f>
        <v>0</v>
      </c>
      <c r="M134" s="76">
        <f t="shared" ref="M134:M147" si="254">IF(D134=2017,J134*0.4,0)</f>
        <v>0</v>
      </c>
      <c r="N134" s="76">
        <f t="shared" ref="N134:N147" si="255">IF(D134=2018,J134*0.6,0)</f>
        <v>0</v>
      </c>
      <c r="O134" s="76">
        <f t="shared" ref="O134:O147" si="256">IF(D134=2019,J134*0.8,0)</f>
        <v>0</v>
      </c>
      <c r="P134" s="76">
        <f t="shared" ref="P134:P147" si="257">IF(D134=2020,J134*1,0)</f>
        <v>0</v>
      </c>
      <c r="Q134" s="44"/>
      <c r="R134" s="76"/>
      <c r="S134" s="76">
        <f>O134*0.4+P134*0.6+Q134*0.8+R134*1</f>
        <v>0</v>
      </c>
      <c r="T134" s="76">
        <f>R134-U134-V134-W134</f>
        <v>0</v>
      </c>
      <c r="U134" s="76"/>
      <c r="V134" s="76"/>
      <c r="W134" s="76"/>
      <c r="X134" s="44"/>
      <c r="Y134" s="76"/>
      <c r="Z134" s="103"/>
      <c r="AA134" s="44"/>
      <c r="AB134" s="44"/>
      <c r="AC134" s="44"/>
      <c r="AD134" s="44"/>
      <c r="AE134" s="76"/>
      <c r="AF134" s="44"/>
      <c r="AG134" s="44"/>
      <c r="AH134" s="44"/>
      <c r="AI134" s="44"/>
      <c r="AJ134" s="115"/>
      <c r="AK134" s="44"/>
      <c r="AL134" s="76"/>
      <c r="AM134" s="44"/>
      <c r="AN134" s="44"/>
      <c r="AO134" s="44"/>
      <c r="AP134" s="86">
        <f t="shared" si="137"/>
        <v>0</v>
      </c>
      <c r="AQ134" s="125"/>
      <c r="AR134" s="44"/>
      <c r="AS134" s="44"/>
      <c r="AT134" s="44"/>
      <c r="AU134" s="127">
        <f t="shared" ref="AU134:AU147" si="258">AT134+AS134+AR134+AN134</f>
        <v>0</v>
      </c>
    </row>
    <row r="135" s="7" customFormat="1" ht="17" customHeight="1" spans="1:85">
      <c r="A135" s="45"/>
      <c r="B135" s="46" t="s">
        <v>76</v>
      </c>
      <c r="C135" s="47">
        <v>3</v>
      </c>
      <c r="D135" s="47"/>
      <c r="E135" s="47"/>
      <c r="F135" s="47"/>
      <c r="G135" s="49">
        <v>92017</v>
      </c>
      <c r="H135" s="49">
        <f>SUM(H136:H147)</f>
        <v>0</v>
      </c>
      <c r="I135" s="49">
        <f>SUM(I136:I147)</f>
        <v>0</v>
      </c>
      <c r="J135" s="55">
        <f t="shared" ref="J135:X135" si="259">SUM(J136:J147)</f>
        <v>392543</v>
      </c>
      <c r="K135" s="78">
        <f t="shared" si="259"/>
        <v>226634.8</v>
      </c>
      <c r="L135" s="78">
        <f t="shared" si="259"/>
        <v>2894.2</v>
      </c>
      <c r="M135" s="78">
        <f t="shared" si="259"/>
        <v>60852</v>
      </c>
      <c r="N135" s="78">
        <f t="shared" si="259"/>
        <v>53595</v>
      </c>
      <c r="O135" s="78">
        <f t="shared" si="259"/>
        <v>109293.6</v>
      </c>
      <c r="P135" s="78">
        <f t="shared" si="259"/>
        <v>0</v>
      </c>
      <c r="Q135" s="49">
        <v>36980</v>
      </c>
      <c r="R135" s="78">
        <f t="shared" si="259"/>
        <v>17911</v>
      </c>
      <c r="S135" s="78">
        <f t="shared" si="259"/>
        <v>11488</v>
      </c>
      <c r="T135" s="78">
        <f t="shared" si="259"/>
        <v>372</v>
      </c>
      <c r="U135" s="78">
        <f t="shared" si="259"/>
        <v>7406.4</v>
      </c>
      <c r="V135" s="78">
        <f t="shared" si="259"/>
        <v>3709.6</v>
      </c>
      <c r="W135" s="78">
        <f t="shared" si="259"/>
        <v>0</v>
      </c>
      <c r="X135" s="49">
        <f t="shared" si="259"/>
        <v>15461.3007753526</v>
      </c>
      <c r="Y135" s="78"/>
      <c r="Z135" s="105">
        <f t="shared" ref="Z135:AD135" si="260">SUM(Z136:Z147)</f>
        <v>1.48003784295175</v>
      </c>
      <c r="AA135" s="49">
        <f t="shared" si="260"/>
        <v>20572.3272052814</v>
      </c>
      <c r="AB135" s="49">
        <v>0</v>
      </c>
      <c r="AC135" s="49">
        <f t="shared" si="260"/>
        <v>0</v>
      </c>
      <c r="AD135" s="49">
        <f t="shared" si="260"/>
        <v>0</v>
      </c>
      <c r="AE135" s="55">
        <f t="shared" ref="AE135:AI135" si="261">SUM(AE136:AE147)</f>
        <v>105838.56</v>
      </c>
      <c r="AF135" s="49">
        <f t="shared" si="261"/>
        <v>11024.754706475</v>
      </c>
      <c r="AG135" s="49">
        <f t="shared" si="261"/>
        <v>81</v>
      </c>
      <c r="AH135" s="49">
        <f t="shared" si="261"/>
        <v>812.437311935807</v>
      </c>
      <c r="AI135" s="49">
        <f t="shared" si="261"/>
        <v>8000</v>
      </c>
      <c r="AJ135" s="120"/>
      <c r="AK135" s="49">
        <f t="shared" ref="AK135:AO135" si="262">SUM(AK136:AK147)</f>
        <v>2704.93108280831</v>
      </c>
      <c r="AL135" s="55">
        <f t="shared" si="262"/>
        <v>1098.49</v>
      </c>
      <c r="AM135" s="49">
        <f t="shared" si="262"/>
        <v>3058.4415307834</v>
      </c>
      <c r="AN135" s="121">
        <f t="shared" si="262"/>
        <v>61635</v>
      </c>
      <c r="AO135" s="49" t="e">
        <f t="shared" si="262"/>
        <v>#REF!</v>
      </c>
      <c r="AP135" s="86" t="e">
        <f t="shared" si="137"/>
        <v>#REF!</v>
      </c>
      <c r="AQ135" s="125" t="e">
        <f t="shared" si="138"/>
        <v>#REF!</v>
      </c>
      <c r="AR135" s="49">
        <v>3103</v>
      </c>
      <c r="AS135" s="49">
        <v>0</v>
      </c>
      <c r="AT135" s="49">
        <v>360</v>
      </c>
      <c r="AU135" s="49">
        <f>SUM(AU136:AU147)</f>
        <v>65098</v>
      </c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</row>
    <row r="136" ht="17" customHeight="1" spans="1:47">
      <c r="A136" s="31">
        <v>88</v>
      </c>
      <c r="B136" s="51" t="s">
        <v>178</v>
      </c>
      <c r="C136" s="31" t="s">
        <v>78</v>
      </c>
      <c r="D136" s="31"/>
      <c r="E136" s="31"/>
      <c r="F136" s="31"/>
      <c r="G136" s="44">
        <v>2199</v>
      </c>
      <c r="H136" s="44"/>
      <c r="I136" s="44"/>
      <c r="J136" s="75">
        <v>14471</v>
      </c>
      <c r="K136" s="76">
        <f t="shared" si="252"/>
        <v>2894.2</v>
      </c>
      <c r="L136" s="76">
        <f t="shared" si="253"/>
        <v>2894.2</v>
      </c>
      <c r="M136" s="76">
        <f t="shared" si="254"/>
        <v>0</v>
      </c>
      <c r="N136" s="76">
        <f t="shared" si="255"/>
        <v>0</v>
      </c>
      <c r="O136" s="76">
        <f t="shared" si="256"/>
        <v>0</v>
      </c>
      <c r="P136" s="76">
        <f t="shared" si="257"/>
        <v>0</v>
      </c>
      <c r="Q136" s="44">
        <v>649</v>
      </c>
      <c r="R136" s="76">
        <v>153</v>
      </c>
      <c r="S136" s="76">
        <f t="shared" ref="S136:S147" si="263">T136+U136+V136+W136</f>
        <v>61.2</v>
      </c>
      <c r="T136" s="76">
        <f>R136*0.4</f>
        <v>61.2</v>
      </c>
      <c r="U136" s="76"/>
      <c r="V136" s="76"/>
      <c r="W136" s="76"/>
      <c r="X136" s="44">
        <f t="shared" ref="X136:X147" si="264">(K136/$K$10*0.2+Q136/$Q$10*0.05+S136/$S$10*0.05)*1254933</f>
        <v>204.996354218532</v>
      </c>
      <c r="Y136" s="76">
        <v>18968</v>
      </c>
      <c r="Z136" s="103">
        <f t="shared" ref="Z136:Z147" si="265">IF(Y136&lt;12842,(12842-Y136)/(12842-$Y$176),0)</f>
        <v>0</v>
      </c>
      <c r="AA136" s="44">
        <f t="shared" ref="AA136:AA147" si="266">(Z136/$Z$10*0.2)*1254933</f>
        <v>0</v>
      </c>
      <c r="AB136" s="44"/>
      <c r="AC136" s="44"/>
      <c r="AD136" s="44"/>
      <c r="AE136" s="76"/>
      <c r="AF136" s="44"/>
      <c r="AG136" s="44">
        <f>VLOOKUP(B:B,[2]Sheet2!$B:$E,4,0)</f>
        <v>29</v>
      </c>
      <c r="AH136" s="44">
        <f t="shared" ref="AH136:AH147" si="267">AG136/$AG$10*10000</f>
        <v>290.872617853561</v>
      </c>
      <c r="AI136" s="44"/>
      <c r="AJ136" s="115">
        <f>VLOOKUP(B:B,'[1]扶贫资金项目情况调度统计表 (2)'!$B:$I,8,0)</f>
        <v>0.612929757160981</v>
      </c>
      <c r="AK136" s="44">
        <f t="shared" ref="AK136:AK147" si="268">AJ136/$AJ$10*0.025*1254933</f>
        <v>188.046733417266</v>
      </c>
      <c r="AL136" s="76">
        <v>92.21</v>
      </c>
      <c r="AM136" s="44">
        <f t="shared" ref="AM136:AM147" si="269">(AL136/$AL$10)*0.025*1254933</f>
        <v>256.733237037694</v>
      </c>
      <c r="AN136" s="67">
        <f t="shared" ref="AN136:AN147" si="270">ROUND(AM136+AK136+AI136+AF136+AH136+AD136+AC136+AA136+X136,0)</f>
        <v>941</v>
      </c>
      <c r="AO136" s="44" t="e">
        <f>#REF!*1254933/1408452</f>
        <v>#REF!</v>
      </c>
      <c r="AP136" s="44" t="e">
        <f t="shared" si="137"/>
        <v>#REF!</v>
      </c>
      <c r="AQ136" s="126" t="e">
        <f t="shared" si="138"/>
        <v>#REF!</v>
      </c>
      <c r="AR136" s="44">
        <v>0</v>
      </c>
      <c r="AS136" s="44">
        <v>0</v>
      </c>
      <c r="AT136" s="44">
        <v>0</v>
      </c>
      <c r="AU136" s="127">
        <f t="shared" si="258"/>
        <v>941</v>
      </c>
    </row>
    <row r="137" ht="17" customHeight="1" spans="1:47">
      <c r="A137" s="31">
        <v>89</v>
      </c>
      <c r="B137" s="51" t="s">
        <v>179</v>
      </c>
      <c r="C137" s="31" t="s">
        <v>90</v>
      </c>
      <c r="D137" s="31">
        <v>2018</v>
      </c>
      <c r="E137" s="31"/>
      <c r="F137" s="31"/>
      <c r="G137" s="44">
        <v>5147</v>
      </c>
      <c r="H137" s="44"/>
      <c r="I137" s="44"/>
      <c r="J137" s="75">
        <v>15569</v>
      </c>
      <c r="K137" s="76">
        <f t="shared" si="252"/>
        <v>9341.4</v>
      </c>
      <c r="L137" s="76">
        <f t="shared" si="253"/>
        <v>0</v>
      </c>
      <c r="M137" s="76">
        <f t="shared" si="254"/>
        <v>0</v>
      </c>
      <c r="N137" s="76">
        <f t="shared" si="255"/>
        <v>9341.4</v>
      </c>
      <c r="O137" s="76">
        <f t="shared" si="256"/>
        <v>0</v>
      </c>
      <c r="P137" s="76">
        <f t="shared" si="257"/>
        <v>0</v>
      </c>
      <c r="Q137" s="44">
        <v>1939</v>
      </c>
      <c r="R137" s="76">
        <v>1058</v>
      </c>
      <c r="S137" s="76">
        <f t="shared" si="263"/>
        <v>634.8</v>
      </c>
      <c r="T137" s="76"/>
      <c r="U137" s="76">
        <f t="shared" ref="U137:U143" si="271">R137*0.6</f>
        <v>634.8</v>
      </c>
      <c r="V137" s="76"/>
      <c r="W137" s="76"/>
      <c r="X137" s="44">
        <f t="shared" si="264"/>
        <v>679.39963401485</v>
      </c>
      <c r="Y137" s="76">
        <v>12855</v>
      </c>
      <c r="Z137" s="103">
        <f t="shared" si="265"/>
        <v>0</v>
      </c>
      <c r="AA137" s="44">
        <f t="shared" si="266"/>
        <v>0</v>
      </c>
      <c r="AB137" s="44"/>
      <c r="AC137" s="44"/>
      <c r="AD137" s="44"/>
      <c r="AE137" s="76"/>
      <c r="AF137" s="44"/>
      <c r="AG137" s="44">
        <f>VLOOKUP(B:B,[2]Sheet2!$B:$E,4,0)</f>
        <v>6</v>
      </c>
      <c r="AH137" s="44">
        <f t="shared" si="267"/>
        <v>60.1805416248746</v>
      </c>
      <c r="AI137" s="44">
        <v>8000</v>
      </c>
      <c r="AJ137" s="115">
        <f>VLOOKUP(B:B,'[1]扶贫资金项目情况调度统计表 (2)'!$B:$I,8,0)</f>
        <v>0.718217539863326</v>
      </c>
      <c r="AK137" s="44">
        <f t="shared" si="268"/>
        <v>220.349005210415</v>
      </c>
      <c r="AL137" s="76">
        <v>92.97</v>
      </c>
      <c r="AM137" s="44">
        <f t="shared" si="269"/>
        <v>258.849246799636</v>
      </c>
      <c r="AN137" s="67">
        <f t="shared" si="270"/>
        <v>9219</v>
      </c>
      <c r="AO137" s="44" t="e">
        <f>#REF!*1254933/1408452</f>
        <v>#REF!</v>
      </c>
      <c r="AP137" s="44" t="e">
        <f t="shared" si="137"/>
        <v>#REF!</v>
      </c>
      <c r="AQ137" s="126" t="e">
        <f t="shared" si="138"/>
        <v>#REF!</v>
      </c>
      <c r="AR137" s="44">
        <v>1084</v>
      </c>
      <c r="AS137" s="44">
        <v>0</v>
      </c>
      <c r="AT137" s="44">
        <v>0</v>
      </c>
      <c r="AU137" s="127">
        <f t="shared" si="258"/>
        <v>10303</v>
      </c>
    </row>
    <row r="138" ht="17" customHeight="1" spans="1:47">
      <c r="A138" s="31">
        <v>90</v>
      </c>
      <c r="B138" s="51" t="s">
        <v>180</v>
      </c>
      <c r="C138" s="31" t="s">
        <v>90</v>
      </c>
      <c r="D138" s="31">
        <v>2017</v>
      </c>
      <c r="E138" s="31"/>
      <c r="F138" s="31"/>
      <c r="G138" s="44">
        <v>5169</v>
      </c>
      <c r="H138" s="44"/>
      <c r="I138" s="44"/>
      <c r="J138" s="75">
        <v>30588</v>
      </c>
      <c r="K138" s="76">
        <f t="shared" si="252"/>
        <v>12235.2</v>
      </c>
      <c r="L138" s="76">
        <f t="shared" si="253"/>
        <v>0</v>
      </c>
      <c r="M138" s="76">
        <f t="shared" si="254"/>
        <v>12235.2</v>
      </c>
      <c r="N138" s="76">
        <f t="shared" si="255"/>
        <v>0</v>
      </c>
      <c r="O138" s="76">
        <f t="shared" si="256"/>
        <v>0</v>
      </c>
      <c r="P138" s="76">
        <f t="shared" si="257"/>
        <v>0</v>
      </c>
      <c r="Q138" s="44">
        <v>1244</v>
      </c>
      <c r="R138" s="76">
        <v>820</v>
      </c>
      <c r="S138" s="76">
        <f t="shared" si="263"/>
        <v>492</v>
      </c>
      <c r="T138" s="76"/>
      <c r="U138" s="76">
        <f t="shared" si="271"/>
        <v>492</v>
      </c>
      <c r="V138" s="76"/>
      <c r="W138" s="76"/>
      <c r="X138" s="44">
        <f t="shared" si="264"/>
        <v>769.37746754022</v>
      </c>
      <c r="Y138" s="76">
        <v>14121</v>
      </c>
      <c r="Z138" s="103">
        <f t="shared" si="265"/>
        <v>0</v>
      </c>
      <c r="AA138" s="44">
        <f t="shared" si="266"/>
        <v>0</v>
      </c>
      <c r="AB138" s="44"/>
      <c r="AC138" s="44"/>
      <c r="AD138" s="44"/>
      <c r="AE138" s="76"/>
      <c r="AF138" s="44"/>
      <c r="AG138" s="44">
        <f>VLOOKUP(B:B,[2]Sheet2!$B:$E,4,0)</f>
        <v>5</v>
      </c>
      <c r="AH138" s="44">
        <f t="shared" si="267"/>
        <v>50.1504513540622</v>
      </c>
      <c r="AI138" s="44"/>
      <c r="AJ138" s="115">
        <f>VLOOKUP(B:B,'[1]扶贫资金项目情况调度统计表 (2)'!$B:$I,8,0)</f>
        <v>0.595847369175627</v>
      </c>
      <c r="AK138" s="44">
        <f t="shared" si="268"/>
        <v>182.805860018508</v>
      </c>
      <c r="AL138" s="76">
        <v>93.16</v>
      </c>
      <c r="AM138" s="44">
        <f t="shared" si="269"/>
        <v>259.378249240122</v>
      </c>
      <c r="AN138" s="67">
        <f t="shared" si="270"/>
        <v>1262</v>
      </c>
      <c r="AO138" s="44" t="e">
        <f>#REF!*1254933/1408452</f>
        <v>#REF!</v>
      </c>
      <c r="AP138" s="44" t="e">
        <f t="shared" si="137"/>
        <v>#REF!</v>
      </c>
      <c r="AQ138" s="126" t="e">
        <f t="shared" si="138"/>
        <v>#REF!</v>
      </c>
      <c r="AR138" s="44">
        <v>785</v>
      </c>
      <c r="AS138" s="44">
        <v>0</v>
      </c>
      <c r="AT138" s="44">
        <v>106</v>
      </c>
      <c r="AU138" s="127">
        <f t="shared" si="258"/>
        <v>2153</v>
      </c>
    </row>
    <row r="139" ht="17" customHeight="1" spans="1:47">
      <c r="A139" s="31">
        <v>91</v>
      </c>
      <c r="B139" s="51" t="s">
        <v>181</v>
      </c>
      <c r="C139" s="31" t="s">
        <v>90</v>
      </c>
      <c r="D139" s="31">
        <v>2017</v>
      </c>
      <c r="E139" s="31"/>
      <c r="F139" s="31"/>
      <c r="G139" s="44">
        <v>5376</v>
      </c>
      <c r="H139" s="44"/>
      <c r="I139" s="44"/>
      <c r="J139" s="75">
        <v>34586</v>
      </c>
      <c r="K139" s="76">
        <f t="shared" si="252"/>
        <v>13834.4</v>
      </c>
      <c r="L139" s="76">
        <f t="shared" si="253"/>
        <v>0</v>
      </c>
      <c r="M139" s="76">
        <f t="shared" si="254"/>
        <v>13834.4</v>
      </c>
      <c r="N139" s="76">
        <f t="shared" si="255"/>
        <v>0</v>
      </c>
      <c r="O139" s="76">
        <f t="shared" si="256"/>
        <v>0</v>
      </c>
      <c r="P139" s="76">
        <f t="shared" si="257"/>
        <v>0</v>
      </c>
      <c r="Q139" s="44">
        <v>3169</v>
      </c>
      <c r="R139" s="76">
        <v>1427</v>
      </c>
      <c r="S139" s="76">
        <f t="shared" si="263"/>
        <v>856.2</v>
      </c>
      <c r="T139" s="76"/>
      <c r="U139" s="76">
        <f t="shared" si="271"/>
        <v>856.2</v>
      </c>
      <c r="V139" s="76"/>
      <c r="W139" s="76"/>
      <c r="X139" s="44">
        <f t="shared" si="264"/>
        <v>1022.91975686786</v>
      </c>
      <c r="Y139" s="76">
        <v>18181</v>
      </c>
      <c r="Z139" s="103">
        <f t="shared" si="265"/>
        <v>0</v>
      </c>
      <c r="AA139" s="44">
        <f t="shared" si="266"/>
        <v>0</v>
      </c>
      <c r="AB139" s="44"/>
      <c r="AC139" s="44"/>
      <c r="AD139" s="44"/>
      <c r="AE139" s="76"/>
      <c r="AF139" s="44"/>
      <c r="AG139" s="44">
        <f>VLOOKUP(B:B,[2]Sheet2!$B:$E,4,0)</f>
        <v>4</v>
      </c>
      <c r="AH139" s="44">
        <f t="shared" si="267"/>
        <v>40.1203610832497</v>
      </c>
      <c r="AI139" s="44"/>
      <c r="AJ139" s="115">
        <f>VLOOKUP(B:B,'[1]扶贫资金项目情况调度统计表 (2)'!$B:$I,8,0)</f>
        <v>0.569576523666297</v>
      </c>
      <c r="AK139" s="44">
        <f t="shared" si="268"/>
        <v>174.74596959155</v>
      </c>
      <c r="AL139" s="76">
        <v>80.47</v>
      </c>
      <c r="AM139" s="44">
        <f t="shared" si="269"/>
        <v>224.046454662436</v>
      </c>
      <c r="AN139" s="67">
        <f t="shared" si="270"/>
        <v>1462</v>
      </c>
      <c r="AO139" s="44" t="e">
        <f>#REF!*1254933/1408452</f>
        <v>#REF!</v>
      </c>
      <c r="AP139" s="44" t="e">
        <f t="shared" si="137"/>
        <v>#REF!</v>
      </c>
      <c r="AQ139" s="126" t="e">
        <f t="shared" si="138"/>
        <v>#REF!</v>
      </c>
      <c r="AR139" s="44">
        <v>495</v>
      </c>
      <c r="AS139" s="44">
        <v>0</v>
      </c>
      <c r="AT139" s="44">
        <v>78</v>
      </c>
      <c r="AU139" s="127">
        <f t="shared" si="258"/>
        <v>2035</v>
      </c>
    </row>
    <row r="140" ht="17" customHeight="1" spans="1:47">
      <c r="A140" s="31">
        <v>92</v>
      </c>
      <c r="B140" s="51" t="s">
        <v>182</v>
      </c>
      <c r="C140" s="31" t="s">
        <v>90</v>
      </c>
      <c r="D140" s="31">
        <v>2019</v>
      </c>
      <c r="E140" s="31" t="s">
        <v>91</v>
      </c>
      <c r="F140" s="31"/>
      <c r="G140" s="44">
        <v>12833</v>
      </c>
      <c r="H140" s="44"/>
      <c r="I140" s="44"/>
      <c r="J140" s="75">
        <v>63053</v>
      </c>
      <c r="K140" s="76">
        <f t="shared" si="252"/>
        <v>50442.4</v>
      </c>
      <c r="L140" s="76">
        <f t="shared" si="253"/>
        <v>0</v>
      </c>
      <c r="M140" s="76">
        <f t="shared" si="254"/>
        <v>0</v>
      </c>
      <c r="N140" s="76">
        <f t="shared" si="255"/>
        <v>0</v>
      </c>
      <c r="O140" s="76">
        <f t="shared" si="256"/>
        <v>50442.4</v>
      </c>
      <c r="P140" s="76">
        <f t="shared" si="257"/>
        <v>0</v>
      </c>
      <c r="Q140" s="44">
        <v>7178</v>
      </c>
      <c r="R140" s="76">
        <v>1481</v>
      </c>
      <c r="S140" s="76">
        <f t="shared" si="263"/>
        <v>888.6</v>
      </c>
      <c r="T140" s="76"/>
      <c r="U140" s="76">
        <f t="shared" si="271"/>
        <v>888.6</v>
      </c>
      <c r="V140" s="76"/>
      <c r="W140" s="76"/>
      <c r="X140" s="44">
        <f t="shared" si="264"/>
        <v>3249.47158984678</v>
      </c>
      <c r="Y140" s="76">
        <v>11981</v>
      </c>
      <c r="Z140" s="103">
        <f t="shared" si="265"/>
        <v>0.162913907284768</v>
      </c>
      <c r="AA140" s="44">
        <f t="shared" si="266"/>
        <v>2264.48142722414</v>
      </c>
      <c r="AB140" s="44"/>
      <c r="AC140" s="44"/>
      <c r="AD140" s="44"/>
      <c r="AE140" s="76">
        <f t="shared" ref="AE140:AE146" si="272">K140*0.6</f>
        <v>30265.44</v>
      </c>
      <c r="AF140" s="44">
        <f t="shared" ref="AF140:AF146" si="273">AE140/$AE$10*372626.55</f>
        <v>3152.62275000281</v>
      </c>
      <c r="AG140" s="44">
        <f>VLOOKUP(B:B,[2]Sheet2!$B:$E,4,0)</f>
        <v>5</v>
      </c>
      <c r="AH140" s="44">
        <f t="shared" si="267"/>
        <v>50.1504513540622</v>
      </c>
      <c r="AI140" s="44"/>
      <c r="AJ140" s="115">
        <f>VLOOKUP(B:B,'[1]扶贫资金项目情况调度统计表 (2)'!$B:$I,8,0)</f>
        <v>0.874816504916768</v>
      </c>
      <c r="AK140" s="44">
        <f t="shared" si="268"/>
        <v>268.39353803131</v>
      </c>
      <c r="AL140" s="76">
        <v>91.35</v>
      </c>
      <c r="AM140" s="44">
        <f t="shared" si="269"/>
        <v>254.338804938655</v>
      </c>
      <c r="AN140" s="67">
        <f t="shared" si="270"/>
        <v>9239</v>
      </c>
      <c r="AO140" s="44" t="e">
        <f>#REF!*1254933/1408452</f>
        <v>#REF!</v>
      </c>
      <c r="AP140" s="44" t="e">
        <f t="shared" si="137"/>
        <v>#REF!</v>
      </c>
      <c r="AQ140" s="126" t="e">
        <f t="shared" si="138"/>
        <v>#REF!</v>
      </c>
      <c r="AR140" s="44">
        <v>0</v>
      </c>
      <c r="AS140" s="44">
        <v>0</v>
      </c>
      <c r="AT140" s="44">
        <v>0</v>
      </c>
      <c r="AU140" s="127">
        <f t="shared" si="258"/>
        <v>9239</v>
      </c>
    </row>
    <row r="141" ht="17" customHeight="1" spans="1:47">
      <c r="A141" s="31">
        <v>93</v>
      </c>
      <c r="B141" s="51" t="s">
        <v>183</v>
      </c>
      <c r="C141" s="31" t="s">
        <v>90</v>
      </c>
      <c r="D141" s="31">
        <v>2018</v>
      </c>
      <c r="E141" s="31" t="s">
        <v>91</v>
      </c>
      <c r="F141" s="31"/>
      <c r="G141" s="44">
        <v>12665</v>
      </c>
      <c r="H141" s="44"/>
      <c r="I141" s="44"/>
      <c r="J141" s="75">
        <v>53447</v>
      </c>
      <c r="K141" s="76">
        <f t="shared" si="252"/>
        <v>32068.2</v>
      </c>
      <c r="L141" s="76">
        <f t="shared" si="253"/>
        <v>0</v>
      </c>
      <c r="M141" s="76">
        <f t="shared" si="254"/>
        <v>0</v>
      </c>
      <c r="N141" s="76">
        <f t="shared" si="255"/>
        <v>32068.2</v>
      </c>
      <c r="O141" s="76">
        <f t="shared" si="256"/>
        <v>0</v>
      </c>
      <c r="P141" s="76">
        <f t="shared" si="257"/>
        <v>0</v>
      </c>
      <c r="Q141" s="44">
        <v>6279</v>
      </c>
      <c r="R141" s="76">
        <v>1813</v>
      </c>
      <c r="S141" s="76">
        <f t="shared" si="263"/>
        <v>1087.8</v>
      </c>
      <c r="T141" s="76"/>
      <c r="U141" s="76">
        <f t="shared" si="271"/>
        <v>1087.8</v>
      </c>
      <c r="V141" s="76"/>
      <c r="W141" s="76"/>
      <c r="X141" s="44">
        <f t="shared" si="264"/>
        <v>2230.30897900306</v>
      </c>
      <c r="Y141" s="76">
        <v>10969</v>
      </c>
      <c r="Z141" s="103">
        <f t="shared" si="265"/>
        <v>0.354399243140965</v>
      </c>
      <c r="AA141" s="44">
        <f t="shared" si="266"/>
        <v>4926.10187362465</v>
      </c>
      <c r="AB141" s="44"/>
      <c r="AC141" s="44"/>
      <c r="AD141" s="44"/>
      <c r="AE141" s="76">
        <f t="shared" si="272"/>
        <v>19240.92</v>
      </c>
      <c r="AF141" s="44">
        <f t="shared" si="273"/>
        <v>2004.24517611454</v>
      </c>
      <c r="AG141" s="44">
        <f>VLOOKUP(B:B,[2]Sheet2!$B:$E,4,0)</f>
        <v>7</v>
      </c>
      <c r="AH141" s="44">
        <f t="shared" si="267"/>
        <v>70.2106318956871</v>
      </c>
      <c r="AI141" s="44"/>
      <c r="AJ141" s="115">
        <f>VLOOKUP(B:B,'[1]扶贫资金项目情况调度统计表 (2)'!$B:$I,8,0)</f>
        <v>0.65680905715005</v>
      </c>
      <c r="AK141" s="44">
        <f t="shared" si="268"/>
        <v>201.508894343829</v>
      </c>
      <c r="AL141" s="76">
        <v>92.6</v>
      </c>
      <c r="AM141" s="44">
        <f t="shared" si="269"/>
        <v>257.819084152375</v>
      </c>
      <c r="AN141" s="67">
        <f t="shared" si="270"/>
        <v>9690</v>
      </c>
      <c r="AO141" s="44" t="e">
        <f>#REF!*1254933/1408452</f>
        <v>#REF!</v>
      </c>
      <c r="AP141" s="44" t="e">
        <f t="shared" si="137"/>
        <v>#REF!</v>
      </c>
      <c r="AQ141" s="126" t="e">
        <f t="shared" si="138"/>
        <v>#REF!</v>
      </c>
      <c r="AR141" s="44">
        <v>0</v>
      </c>
      <c r="AS141" s="44">
        <v>0</v>
      </c>
      <c r="AT141" s="44">
        <v>0</v>
      </c>
      <c r="AU141" s="127">
        <f t="shared" si="258"/>
        <v>9690</v>
      </c>
    </row>
    <row r="142" ht="17" customHeight="1" spans="1:47">
      <c r="A142" s="31">
        <v>94</v>
      </c>
      <c r="B142" s="51" t="s">
        <v>184</v>
      </c>
      <c r="C142" s="31" t="s">
        <v>90</v>
      </c>
      <c r="D142" s="31">
        <v>2017</v>
      </c>
      <c r="E142" s="31" t="s">
        <v>91</v>
      </c>
      <c r="F142" s="31"/>
      <c r="G142" s="44">
        <v>8107</v>
      </c>
      <c r="H142" s="44"/>
      <c r="I142" s="44"/>
      <c r="J142" s="75">
        <v>28858</v>
      </c>
      <c r="K142" s="76">
        <f t="shared" si="252"/>
        <v>11543.2</v>
      </c>
      <c r="L142" s="76">
        <f t="shared" si="253"/>
        <v>0</v>
      </c>
      <c r="M142" s="76">
        <f t="shared" si="254"/>
        <v>11543.2</v>
      </c>
      <c r="N142" s="76">
        <f t="shared" si="255"/>
        <v>0</v>
      </c>
      <c r="O142" s="76">
        <f t="shared" si="256"/>
        <v>0</v>
      </c>
      <c r="P142" s="76">
        <f t="shared" si="257"/>
        <v>0</v>
      </c>
      <c r="Q142" s="44">
        <v>2150</v>
      </c>
      <c r="R142" s="76">
        <v>1314</v>
      </c>
      <c r="S142" s="76">
        <f t="shared" si="263"/>
        <v>788.4</v>
      </c>
      <c r="T142" s="76"/>
      <c r="U142" s="76">
        <f t="shared" si="271"/>
        <v>788.4</v>
      </c>
      <c r="V142" s="76"/>
      <c r="W142" s="76"/>
      <c r="X142" s="44">
        <f t="shared" si="264"/>
        <v>821.270906667625</v>
      </c>
      <c r="Y142" s="76">
        <v>12092</v>
      </c>
      <c r="Z142" s="103">
        <f t="shared" si="265"/>
        <v>0.141911069063387</v>
      </c>
      <c r="AA142" s="44">
        <f t="shared" si="266"/>
        <v>1972.54479723358</v>
      </c>
      <c r="AB142" s="44"/>
      <c r="AC142" s="44"/>
      <c r="AD142" s="44"/>
      <c r="AE142" s="76">
        <f t="shared" si="272"/>
        <v>6925.92</v>
      </c>
      <c r="AF142" s="44">
        <f t="shared" si="273"/>
        <v>721.443764131612</v>
      </c>
      <c r="AG142" s="44">
        <f>VLOOKUP(B:B,[2]Sheet2!$B:$E,4,0)</f>
        <v>5</v>
      </c>
      <c r="AH142" s="44">
        <f t="shared" si="267"/>
        <v>50.1504513540622</v>
      </c>
      <c r="AI142" s="44"/>
      <c r="AJ142" s="115">
        <f>VLOOKUP(B:B,'[1]扶贫资金项目情况调度统计表 (2)'!$B:$I,8,0)</f>
        <v>0.872931741173899</v>
      </c>
      <c r="AK142" s="44">
        <f t="shared" si="268"/>
        <v>267.815292871944</v>
      </c>
      <c r="AL142" s="76">
        <v>90.88</v>
      </c>
      <c r="AM142" s="44">
        <f t="shared" si="269"/>
        <v>253.030219954296</v>
      </c>
      <c r="AN142" s="67">
        <f t="shared" si="270"/>
        <v>4086</v>
      </c>
      <c r="AO142" s="44" t="e">
        <f>#REF!*1254933/1408452</f>
        <v>#REF!</v>
      </c>
      <c r="AP142" s="44" t="e">
        <f t="shared" ref="AP142:AP195" si="274">AN142-AO142</f>
        <v>#REF!</v>
      </c>
      <c r="AQ142" s="126" t="e">
        <f t="shared" ref="AQ142:AQ195" si="275">AP142/AO142</f>
        <v>#REF!</v>
      </c>
      <c r="AR142" s="44">
        <v>0</v>
      </c>
      <c r="AS142" s="44">
        <v>0</v>
      </c>
      <c r="AT142" s="44">
        <v>0</v>
      </c>
      <c r="AU142" s="127">
        <f t="shared" si="258"/>
        <v>4086</v>
      </c>
    </row>
    <row r="143" ht="17" customHeight="1" spans="1:47">
      <c r="A143" s="31">
        <v>95</v>
      </c>
      <c r="B143" s="51" t="s">
        <v>185</v>
      </c>
      <c r="C143" s="31" t="s">
        <v>90</v>
      </c>
      <c r="D143" s="31">
        <v>2018</v>
      </c>
      <c r="E143" s="31" t="s">
        <v>91</v>
      </c>
      <c r="F143" s="31"/>
      <c r="G143" s="44">
        <v>7178</v>
      </c>
      <c r="H143" s="44"/>
      <c r="I143" s="44"/>
      <c r="J143" s="75">
        <v>20309</v>
      </c>
      <c r="K143" s="76">
        <f t="shared" si="252"/>
        <v>12185.4</v>
      </c>
      <c r="L143" s="76">
        <f t="shared" si="253"/>
        <v>0</v>
      </c>
      <c r="M143" s="76">
        <f t="shared" si="254"/>
        <v>0</v>
      </c>
      <c r="N143" s="76">
        <f t="shared" si="255"/>
        <v>12185.4</v>
      </c>
      <c r="O143" s="76">
        <f t="shared" si="256"/>
        <v>0</v>
      </c>
      <c r="P143" s="76">
        <f t="shared" si="257"/>
        <v>0</v>
      </c>
      <c r="Q143" s="44">
        <v>2277</v>
      </c>
      <c r="R143" s="76">
        <v>1192</v>
      </c>
      <c r="S143" s="76">
        <f t="shared" si="263"/>
        <v>715.2</v>
      </c>
      <c r="T143" s="76"/>
      <c r="U143" s="76">
        <f t="shared" si="271"/>
        <v>715.2</v>
      </c>
      <c r="V143" s="76"/>
      <c r="W143" s="76"/>
      <c r="X143" s="44">
        <f t="shared" si="264"/>
        <v>859.626384257836</v>
      </c>
      <c r="Y143" s="76">
        <v>12203</v>
      </c>
      <c r="Z143" s="103">
        <f t="shared" si="265"/>
        <v>0.120908230842006</v>
      </c>
      <c r="AA143" s="44">
        <f t="shared" si="266"/>
        <v>1680.60816724301</v>
      </c>
      <c r="AB143" s="44"/>
      <c r="AC143" s="44"/>
      <c r="AD143" s="44"/>
      <c r="AE143" s="76">
        <f t="shared" si="272"/>
        <v>7311.24</v>
      </c>
      <c r="AF143" s="44">
        <f t="shared" si="273"/>
        <v>761.580917202279</v>
      </c>
      <c r="AG143" s="44">
        <f>VLOOKUP(B:B,[2]Sheet2!$B:$E,4,0)</f>
        <v>6</v>
      </c>
      <c r="AH143" s="44">
        <f t="shared" si="267"/>
        <v>60.1805416248746</v>
      </c>
      <c r="AI143" s="44"/>
      <c r="AJ143" s="115">
        <f>VLOOKUP(B:B,'[1]扶贫资金项目情况调度统计表 (2)'!$B:$I,8,0)</f>
        <v>0.829409814323607</v>
      </c>
      <c r="AK143" s="44">
        <f t="shared" si="268"/>
        <v>254.462773956676</v>
      </c>
      <c r="AL143" s="76">
        <v>94.57</v>
      </c>
      <c r="AM143" s="44">
        <f t="shared" si="269"/>
        <v>263.304004193198</v>
      </c>
      <c r="AN143" s="67">
        <f t="shared" si="270"/>
        <v>3880</v>
      </c>
      <c r="AO143" s="44" t="e">
        <f>#REF!*1254933/1408452</f>
        <v>#REF!</v>
      </c>
      <c r="AP143" s="44" t="e">
        <f t="shared" si="274"/>
        <v>#REF!</v>
      </c>
      <c r="AQ143" s="126" t="e">
        <f t="shared" si="275"/>
        <v>#REF!</v>
      </c>
      <c r="AR143" s="44">
        <v>0</v>
      </c>
      <c r="AS143" s="44">
        <v>0</v>
      </c>
      <c r="AT143" s="44">
        <v>0</v>
      </c>
      <c r="AU143" s="127">
        <f t="shared" si="258"/>
        <v>3880</v>
      </c>
    </row>
    <row r="144" ht="17" customHeight="1" spans="1:47">
      <c r="A144" s="31">
        <v>96</v>
      </c>
      <c r="B144" s="51" t="s">
        <v>186</v>
      </c>
      <c r="C144" s="31" t="s">
        <v>90</v>
      </c>
      <c r="D144" s="31">
        <v>2019</v>
      </c>
      <c r="E144" s="31" t="s">
        <v>91</v>
      </c>
      <c r="F144" s="31"/>
      <c r="G144" s="44">
        <v>10668</v>
      </c>
      <c r="H144" s="44"/>
      <c r="I144" s="44"/>
      <c r="J144" s="75">
        <v>44723</v>
      </c>
      <c r="K144" s="76">
        <f t="shared" si="252"/>
        <v>35778.4</v>
      </c>
      <c r="L144" s="76">
        <f t="shared" si="253"/>
        <v>0</v>
      </c>
      <c r="M144" s="76">
        <f t="shared" si="254"/>
        <v>0</v>
      </c>
      <c r="N144" s="76">
        <f t="shared" si="255"/>
        <v>0</v>
      </c>
      <c r="O144" s="76">
        <f t="shared" si="256"/>
        <v>35778.4</v>
      </c>
      <c r="P144" s="76">
        <f t="shared" si="257"/>
        <v>0</v>
      </c>
      <c r="Q144" s="44">
        <v>5597</v>
      </c>
      <c r="R144" s="76">
        <v>4637</v>
      </c>
      <c r="S144" s="76">
        <f t="shared" si="263"/>
        <v>3709.6</v>
      </c>
      <c r="T144" s="76"/>
      <c r="U144" s="76"/>
      <c r="V144" s="76">
        <f>R144*0.8</f>
        <v>3709.6</v>
      </c>
      <c r="W144" s="76"/>
      <c r="X144" s="44">
        <f t="shared" si="264"/>
        <v>2550.51587118966</v>
      </c>
      <c r="Y144" s="76">
        <v>11751</v>
      </c>
      <c r="Z144" s="103">
        <f t="shared" si="265"/>
        <v>0.20643330179754</v>
      </c>
      <c r="AA144" s="44">
        <f t="shared" si="266"/>
        <v>2869.39516504244</v>
      </c>
      <c r="AB144" s="44"/>
      <c r="AC144" s="44"/>
      <c r="AD144" s="44"/>
      <c r="AE144" s="76">
        <f t="shared" si="272"/>
        <v>21467.04</v>
      </c>
      <c r="AF144" s="44">
        <f t="shared" si="273"/>
        <v>2236.13067179001</v>
      </c>
      <c r="AG144" s="44">
        <f>VLOOKUP(B:B,[2]Sheet2!$B:$E,4,0)</f>
        <v>5</v>
      </c>
      <c r="AH144" s="44">
        <f t="shared" si="267"/>
        <v>50.1504513540622</v>
      </c>
      <c r="AI144" s="44"/>
      <c r="AJ144" s="115">
        <f>VLOOKUP(B:B,'[1]扶贫资金项目情况调度统计表 (2)'!$B:$I,8,0)</f>
        <v>0.482889356920177</v>
      </c>
      <c r="AK144" s="44">
        <f t="shared" si="268"/>
        <v>148.150363251093</v>
      </c>
      <c r="AL144" s="76">
        <v>89.55</v>
      </c>
      <c r="AM144" s="44">
        <f t="shared" si="269"/>
        <v>249.327202870898</v>
      </c>
      <c r="AN144" s="67">
        <f t="shared" si="270"/>
        <v>8104</v>
      </c>
      <c r="AO144" s="44" t="e">
        <f>#REF!*1254933/1408452</f>
        <v>#REF!</v>
      </c>
      <c r="AP144" s="44" t="e">
        <f t="shared" si="274"/>
        <v>#REF!</v>
      </c>
      <c r="AQ144" s="126" t="e">
        <f t="shared" si="275"/>
        <v>#REF!</v>
      </c>
      <c r="AR144" s="44">
        <v>519</v>
      </c>
      <c r="AS144" s="44">
        <v>0</v>
      </c>
      <c r="AT144" s="44">
        <v>88</v>
      </c>
      <c r="AU144" s="127">
        <f t="shared" si="258"/>
        <v>8711</v>
      </c>
    </row>
    <row r="145" ht="17" customHeight="1" spans="1:47">
      <c r="A145" s="31">
        <v>97</v>
      </c>
      <c r="B145" s="51" t="s">
        <v>187</v>
      </c>
      <c r="C145" s="31" t="s">
        <v>90</v>
      </c>
      <c r="D145" s="31">
        <v>2017</v>
      </c>
      <c r="E145" s="31" t="s">
        <v>91</v>
      </c>
      <c r="F145" s="31"/>
      <c r="G145" s="44">
        <v>6449</v>
      </c>
      <c r="H145" s="44"/>
      <c r="I145" s="44"/>
      <c r="J145" s="75">
        <v>28268</v>
      </c>
      <c r="K145" s="76">
        <f t="shared" si="252"/>
        <v>11307.2</v>
      </c>
      <c r="L145" s="76">
        <f t="shared" si="253"/>
        <v>0</v>
      </c>
      <c r="M145" s="76">
        <f t="shared" si="254"/>
        <v>11307.2</v>
      </c>
      <c r="N145" s="76">
        <f t="shared" si="255"/>
        <v>0</v>
      </c>
      <c r="O145" s="76">
        <f t="shared" si="256"/>
        <v>0</v>
      </c>
      <c r="P145" s="76">
        <f t="shared" si="257"/>
        <v>0</v>
      </c>
      <c r="Q145" s="44">
        <v>1348</v>
      </c>
      <c r="R145" s="76">
        <v>1475</v>
      </c>
      <c r="S145" s="76">
        <f t="shared" si="263"/>
        <v>885</v>
      </c>
      <c r="T145" s="76"/>
      <c r="U145" s="76">
        <f>R145*0.6</f>
        <v>885</v>
      </c>
      <c r="V145" s="76"/>
      <c r="W145" s="76"/>
      <c r="X145" s="44">
        <f t="shared" si="264"/>
        <v>754.975121547714</v>
      </c>
      <c r="Y145" s="76">
        <v>12733</v>
      </c>
      <c r="Z145" s="103">
        <f t="shared" si="265"/>
        <v>0.0206244087038789</v>
      </c>
      <c r="AA145" s="44">
        <f t="shared" si="266"/>
        <v>286.676510531279</v>
      </c>
      <c r="AB145" s="44"/>
      <c r="AC145" s="44"/>
      <c r="AD145" s="44"/>
      <c r="AE145" s="76">
        <f t="shared" si="272"/>
        <v>6784.32</v>
      </c>
      <c r="AF145" s="44">
        <f t="shared" si="273"/>
        <v>706.69389162355</v>
      </c>
      <c r="AG145" s="44">
        <f>VLOOKUP(B:B,[2]Sheet2!$B:$E,4,0)</f>
        <v>3</v>
      </c>
      <c r="AH145" s="44">
        <f t="shared" si="267"/>
        <v>30.0902708124373</v>
      </c>
      <c r="AI145" s="44"/>
      <c r="AJ145" s="115">
        <f>VLOOKUP(B:B,'[1]扶贫资金项目情况调度统计表 (2)'!$B:$I,8,0)</f>
        <v>0.813743011057556</v>
      </c>
      <c r="AK145" s="44">
        <f t="shared" si="268"/>
        <v>249.65620168171</v>
      </c>
      <c r="AL145" s="76">
        <v>93.15</v>
      </c>
      <c r="AM145" s="44">
        <f t="shared" si="269"/>
        <v>259.350407006412</v>
      </c>
      <c r="AN145" s="67">
        <f t="shared" si="270"/>
        <v>2287</v>
      </c>
      <c r="AO145" s="44" t="e">
        <f>#REF!*1254933/1408452</f>
        <v>#REF!</v>
      </c>
      <c r="AP145" s="44" t="e">
        <f t="shared" si="274"/>
        <v>#REF!</v>
      </c>
      <c r="AQ145" s="126" t="e">
        <f t="shared" si="275"/>
        <v>#REF!</v>
      </c>
      <c r="AR145" s="44">
        <v>0</v>
      </c>
      <c r="AS145" s="44">
        <v>0</v>
      </c>
      <c r="AT145" s="44">
        <v>88</v>
      </c>
      <c r="AU145" s="127">
        <f t="shared" si="258"/>
        <v>2375</v>
      </c>
    </row>
    <row r="146" ht="17" customHeight="1" spans="1:47">
      <c r="A146" s="31">
        <v>98</v>
      </c>
      <c r="B146" s="51" t="s">
        <v>188</v>
      </c>
      <c r="C146" s="31" t="s">
        <v>90</v>
      </c>
      <c r="D146" s="31">
        <v>2019</v>
      </c>
      <c r="E146" s="31" t="s">
        <v>91</v>
      </c>
      <c r="F146" s="31"/>
      <c r="G146" s="44">
        <v>10734</v>
      </c>
      <c r="H146" s="44"/>
      <c r="I146" s="44"/>
      <c r="J146" s="75">
        <v>28841</v>
      </c>
      <c r="K146" s="76">
        <f t="shared" si="252"/>
        <v>23072.8</v>
      </c>
      <c r="L146" s="76">
        <f t="shared" si="253"/>
        <v>0</v>
      </c>
      <c r="M146" s="76">
        <f t="shared" si="254"/>
        <v>0</v>
      </c>
      <c r="N146" s="76">
        <f t="shared" si="255"/>
        <v>0</v>
      </c>
      <c r="O146" s="76">
        <f t="shared" si="256"/>
        <v>23072.8</v>
      </c>
      <c r="P146" s="76">
        <f t="shared" si="257"/>
        <v>0</v>
      </c>
      <c r="Q146" s="44">
        <v>2449</v>
      </c>
      <c r="R146" s="76">
        <v>1764</v>
      </c>
      <c r="S146" s="76">
        <f t="shared" si="263"/>
        <v>1058.4</v>
      </c>
      <c r="T146" s="76"/>
      <c r="U146" s="76">
        <f>R146*0.6</f>
        <v>1058.4</v>
      </c>
      <c r="V146" s="76"/>
      <c r="W146" s="76"/>
      <c r="X146" s="44">
        <f t="shared" si="264"/>
        <v>1467.44175874004</v>
      </c>
      <c r="Y146" s="76">
        <v>10728</v>
      </c>
      <c r="Z146" s="103">
        <f t="shared" si="265"/>
        <v>0.4</v>
      </c>
      <c r="AA146" s="44">
        <f t="shared" si="266"/>
        <v>5559.94626846904</v>
      </c>
      <c r="AB146" s="44"/>
      <c r="AC146" s="44"/>
      <c r="AD146" s="44"/>
      <c r="AE146" s="76">
        <f t="shared" si="272"/>
        <v>13843.68</v>
      </c>
      <c r="AF146" s="44">
        <f t="shared" si="273"/>
        <v>1442.03753561022</v>
      </c>
      <c r="AG146" s="44">
        <f>VLOOKUP(B:B,[2]Sheet2!$B:$E,4,0)</f>
        <v>3</v>
      </c>
      <c r="AH146" s="44">
        <f t="shared" si="267"/>
        <v>30.0902708124373</v>
      </c>
      <c r="AI146" s="44"/>
      <c r="AJ146" s="115">
        <f>VLOOKUP(B:B,'[1]扶贫资金项目情况调度统计表 (2)'!$B:$I,8,0)</f>
        <v>0.927804766160262</v>
      </c>
      <c r="AK146" s="44">
        <f t="shared" si="268"/>
        <v>284.650326545631</v>
      </c>
      <c r="AL146" s="76">
        <v>93.65</v>
      </c>
      <c r="AM146" s="44">
        <f t="shared" si="269"/>
        <v>260.7425186919</v>
      </c>
      <c r="AN146" s="67">
        <f t="shared" si="270"/>
        <v>9045</v>
      </c>
      <c r="AO146" s="44" t="e">
        <f>#REF!*1254933/1408452</f>
        <v>#REF!</v>
      </c>
      <c r="AP146" s="44" t="e">
        <f t="shared" si="274"/>
        <v>#REF!</v>
      </c>
      <c r="AQ146" s="126" t="e">
        <f t="shared" si="275"/>
        <v>#REF!</v>
      </c>
      <c r="AR146" s="44">
        <v>0</v>
      </c>
      <c r="AS146" s="44">
        <v>0</v>
      </c>
      <c r="AT146" s="44">
        <v>0</v>
      </c>
      <c r="AU146" s="127">
        <f t="shared" si="258"/>
        <v>9045</v>
      </c>
    </row>
    <row r="147" ht="17" customHeight="1" spans="1:47">
      <c r="A147" s="31">
        <v>99</v>
      </c>
      <c r="B147" s="51" t="s">
        <v>189</v>
      </c>
      <c r="C147" s="31" t="s">
        <v>90</v>
      </c>
      <c r="D147" s="31">
        <v>2017</v>
      </c>
      <c r="E147" s="31"/>
      <c r="F147" s="31"/>
      <c r="G147" s="44">
        <v>5492</v>
      </c>
      <c r="H147" s="44"/>
      <c r="I147" s="44"/>
      <c r="J147" s="75">
        <v>29830</v>
      </c>
      <c r="K147" s="76">
        <f t="shared" si="252"/>
        <v>11932</v>
      </c>
      <c r="L147" s="76">
        <f t="shared" si="253"/>
        <v>0</v>
      </c>
      <c r="M147" s="76">
        <f t="shared" si="254"/>
        <v>11932</v>
      </c>
      <c r="N147" s="76">
        <f t="shared" si="255"/>
        <v>0</v>
      </c>
      <c r="O147" s="76">
        <f t="shared" si="256"/>
        <v>0</v>
      </c>
      <c r="P147" s="76">
        <f t="shared" si="257"/>
        <v>0</v>
      </c>
      <c r="Q147" s="44">
        <v>2701</v>
      </c>
      <c r="R147" s="76">
        <v>777</v>
      </c>
      <c r="S147" s="76">
        <f t="shared" si="263"/>
        <v>310.8</v>
      </c>
      <c r="T147" s="76">
        <f>R147*0.4</f>
        <v>310.8</v>
      </c>
      <c r="U147" s="76"/>
      <c r="V147" s="76"/>
      <c r="W147" s="76"/>
      <c r="X147" s="44">
        <f t="shared" si="264"/>
        <v>850.996951458442</v>
      </c>
      <c r="Y147" s="76">
        <v>12457</v>
      </c>
      <c r="Z147" s="103">
        <f t="shared" si="265"/>
        <v>0.0728476821192053</v>
      </c>
      <c r="AA147" s="44">
        <f t="shared" si="266"/>
        <v>1012.57299591323</v>
      </c>
      <c r="AB147" s="44"/>
      <c r="AC147" s="44"/>
      <c r="AD147" s="44"/>
      <c r="AE147" s="76"/>
      <c r="AF147" s="44"/>
      <c r="AG147" s="44">
        <f>VLOOKUP(B:B,[2]Sheet2!$B:$E,4,0)</f>
        <v>3</v>
      </c>
      <c r="AH147" s="44">
        <f t="shared" si="267"/>
        <v>30.0902708124373</v>
      </c>
      <c r="AI147" s="44"/>
      <c r="AJ147" s="115">
        <f>VLOOKUP(B:B,'[1]扶贫资金项目情况调度统计表 (2)'!$B:$I,8,0)</f>
        <v>0.861624142982713</v>
      </c>
      <c r="AK147" s="44">
        <f t="shared" si="268"/>
        <v>264.346123888378</v>
      </c>
      <c r="AL147" s="76">
        <v>93.93</v>
      </c>
      <c r="AM147" s="44">
        <f t="shared" si="269"/>
        <v>261.522101235773</v>
      </c>
      <c r="AN147" s="67">
        <f t="shared" si="270"/>
        <v>2420</v>
      </c>
      <c r="AO147" s="44" t="e">
        <f>#REF!*1254933/1408452</f>
        <v>#REF!</v>
      </c>
      <c r="AP147" s="44" t="e">
        <f t="shared" si="274"/>
        <v>#REF!</v>
      </c>
      <c r="AQ147" s="126" t="e">
        <f t="shared" si="275"/>
        <v>#REF!</v>
      </c>
      <c r="AR147" s="44">
        <v>220</v>
      </c>
      <c r="AS147" s="44">
        <v>0</v>
      </c>
      <c r="AT147" s="44">
        <v>0</v>
      </c>
      <c r="AU147" s="127">
        <f t="shared" si="258"/>
        <v>2640</v>
      </c>
    </row>
    <row r="148" s="6" customFormat="1" ht="17" customHeight="1" spans="1:85">
      <c r="A148" s="39"/>
      <c r="B148" s="40" t="s">
        <v>190</v>
      </c>
      <c r="C148" s="41">
        <v>1</v>
      </c>
      <c r="D148" s="41"/>
      <c r="E148" s="41"/>
      <c r="F148" s="41"/>
      <c r="G148" s="43">
        <v>53047</v>
      </c>
      <c r="H148" s="43">
        <f>H149+H150</f>
        <v>0</v>
      </c>
      <c r="I148" s="43">
        <f>I149+I150</f>
        <v>0</v>
      </c>
      <c r="J148" s="54">
        <f t="shared" ref="J148:X148" si="276">J149+J150</f>
        <v>351335</v>
      </c>
      <c r="K148" s="77">
        <f t="shared" si="276"/>
        <v>225822.4</v>
      </c>
      <c r="L148" s="77">
        <f t="shared" si="276"/>
        <v>9329.8</v>
      </c>
      <c r="M148" s="77">
        <f t="shared" si="276"/>
        <v>0</v>
      </c>
      <c r="N148" s="77">
        <f t="shared" si="276"/>
        <v>81768.6</v>
      </c>
      <c r="O148" s="77">
        <f t="shared" si="276"/>
        <v>134724</v>
      </c>
      <c r="P148" s="77">
        <f t="shared" si="276"/>
        <v>0</v>
      </c>
      <c r="Q148" s="43">
        <v>54818</v>
      </c>
      <c r="R148" s="77">
        <f t="shared" si="276"/>
        <v>72169</v>
      </c>
      <c r="S148" s="77">
        <f t="shared" si="276"/>
        <v>71328.2</v>
      </c>
      <c r="T148" s="77">
        <f t="shared" si="276"/>
        <v>0</v>
      </c>
      <c r="U148" s="77">
        <f t="shared" si="276"/>
        <v>0</v>
      </c>
      <c r="V148" s="77">
        <f t="shared" si="276"/>
        <v>3363.2</v>
      </c>
      <c r="W148" s="77">
        <f t="shared" si="276"/>
        <v>67965</v>
      </c>
      <c r="X148" s="43">
        <f t="shared" si="276"/>
        <v>20796.5893306682</v>
      </c>
      <c r="Y148" s="77"/>
      <c r="Z148" s="104">
        <f t="shared" ref="Z148:AD148" si="277">Z149+Z150</f>
        <v>0.151939451277199</v>
      </c>
      <c r="AA148" s="43">
        <f t="shared" si="277"/>
        <v>2111.93796290474</v>
      </c>
      <c r="AB148" s="43">
        <v>11</v>
      </c>
      <c r="AC148" s="43">
        <f t="shared" si="277"/>
        <v>3690.97941176471</v>
      </c>
      <c r="AD148" s="43">
        <f t="shared" si="277"/>
        <v>0</v>
      </c>
      <c r="AE148" s="54">
        <f t="shared" ref="AE148:AI148" si="278">AE149+AE150</f>
        <v>39290.4</v>
      </c>
      <c r="AF148" s="43">
        <f t="shared" si="278"/>
        <v>4092.71462422851</v>
      </c>
      <c r="AG148" s="43">
        <f t="shared" si="278"/>
        <v>34</v>
      </c>
      <c r="AH148" s="43">
        <f t="shared" si="278"/>
        <v>341.023069207623</v>
      </c>
      <c r="AI148" s="43">
        <f t="shared" si="278"/>
        <v>0</v>
      </c>
      <c r="AJ148" s="118"/>
      <c r="AK148" s="43">
        <f t="shared" ref="AK148:AO148" si="279">AK149+AK150</f>
        <v>979.416647570322</v>
      </c>
      <c r="AL148" s="54">
        <f t="shared" si="279"/>
        <v>463.94</v>
      </c>
      <c r="AM148" s="43">
        <f t="shared" si="279"/>
        <v>1291.71259073059</v>
      </c>
      <c r="AN148" s="119">
        <f t="shared" si="279"/>
        <v>33305</v>
      </c>
      <c r="AO148" s="43" t="e">
        <f t="shared" si="279"/>
        <v>#REF!</v>
      </c>
      <c r="AP148" s="86" t="e">
        <f t="shared" si="274"/>
        <v>#REF!</v>
      </c>
      <c r="AQ148" s="125" t="e">
        <f t="shared" si="275"/>
        <v>#REF!</v>
      </c>
      <c r="AR148" s="43">
        <v>1500</v>
      </c>
      <c r="AS148" s="43">
        <v>254</v>
      </c>
      <c r="AT148" s="43">
        <v>297</v>
      </c>
      <c r="AU148" s="43">
        <f>AU149+AU150</f>
        <v>35356</v>
      </c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</row>
    <row r="149" ht="17" customHeight="1" spans="1:47">
      <c r="A149" s="29"/>
      <c r="B149" s="30" t="s">
        <v>191</v>
      </c>
      <c r="C149" s="31">
        <v>2</v>
      </c>
      <c r="D149" s="31"/>
      <c r="E149" s="31"/>
      <c r="F149" s="31"/>
      <c r="G149" s="44">
        <v>1700</v>
      </c>
      <c r="H149" s="44"/>
      <c r="I149" s="44"/>
      <c r="J149" s="75"/>
      <c r="K149" s="76">
        <f t="shared" ref="K149:K155" si="280">SUM(L149:P149)</f>
        <v>0</v>
      </c>
      <c r="L149" s="76">
        <f t="shared" ref="L149:L155" si="281">IF(D149="",J149*0.2,0)</f>
        <v>0</v>
      </c>
      <c r="M149" s="76">
        <f t="shared" ref="M149:M155" si="282">IF(D149=2017,J149*0.4,0)</f>
        <v>0</v>
      </c>
      <c r="N149" s="76">
        <f t="shared" ref="N149:N155" si="283">IF(D149=2018,J149*0.6,0)</f>
        <v>0</v>
      </c>
      <c r="O149" s="76">
        <f t="shared" ref="O149:O155" si="284">IF(D149=2019,J149*0.8,0)</f>
        <v>0</v>
      </c>
      <c r="P149" s="76">
        <f t="shared" ref="P149:P155" si="285">IF(D149=2020,J149*1,0)</f>
        <v>0</v>
      </c>
      <c r="Q149" s="44"/>
      <c r="R149" s="76"/>
      <c r="S149" s="76">
        <f>O149*0.4+P149*0.6+Q149*0.8+R149*1</f>
        <v>0</v>
      </c>
      <c r="T149" s="76">
        <f>R149-U149-V149-W149</f>
        <v>0</v>
      </c>
      <c r="U149" s="76"/>
      <c r="V149" s="76"/>
      <c r="W149" s="76"/>
      <c r="X149" s="44"/>
      <c r="Y149" s="76"/>
      <c r="Z149" s="103"/>
      <c r="AA149" s="44"/>
      <c r="AB149" s="44"/>
      <c r="AC149" s="44"/>
      <c r="AD149" s="44"/>
      <c r="AE149" s="76"/>
      <c r="AF149" s="44"/>
      <c r="AG149" s="44"/>
      <c r="AH149" s="44"/>
      <c r="AI149" s="44"/>
      <c r="AJ149" s="115"/>
      <c r="AK149" s="44"/>
      <c r="AL149" s="76"/>
      <c r="AM149" s="44"/>
      <c r="AN149" s="44"/>
      <c r="AO149" s="44"/>
      <c r="AP149" s="86">
        <f t="shared" si="274"/>
        <v>0</v>
      </c>
      <c r="AQ149" s="125"/>
      <c r="AR149" s="44"/>
      <c r="AS149" s="44"/>
      <c r="AT149" s="44"/>
      <c r="AU149" s="127">
        <f t="shared" ref="AU149:AU155" si="286">AT149+AS149+AR149+AN149</f>
        <v>0</v>
      </c>
    </row>
    <row r="150" s="7" customFormat="1" ht="17" customHeight="1" spans="1:85">
      <c r="A150" s="45"/>
      <c r="B150" s="46" t="s">
        <v>76</v>
      </c>
      <c r="C150" s="47">
        <v>3</v>
      </c>
      <c r="D150" s="47"/>
      <c r="E150" s="47"/>
      <c r="F150" s="47"/>
      <c r="G150" s="49">
        <v>51347</v>
      </c>
      <c r="H150" s="49">
        <f>SUM(H151:H155)</f>
        <v>0</v>
      </c>
      <c r="I150" s="49">
        <f>SUM(I151:I155)</f>
        <v>0</v>
      </c>
      <c r="J150" s="55">
        <f t="shared" ref="J150:X150" si="287">SUM(J151:J155)</f>
        <v>351335</v>
      </c>
      <c r="K150" s="78">
        <f t="shared" si="287"/>
        <v>225822.4</v>
      </c>
      <c r="L150" s="78">
        <f t="shared" si="287"/>
        <v>9329.8</v>
      </c>
      <c r="M150" s="78">
        <f t="shared" si="287"/>
        <v>0</v>
      </c>
      <c r="N150" s="78">
        <f t="shared" si="287"/>
        <v>81768.6</v>
      </c>
      <c r="O150" s="78">
        <f t="shared" si="287"/>
        <v>134724</v>
      </c>
      <c r="P150" s="78">
        <f t="shared" si="287"/>
        <v>0</v>
      </c>
      <c r="Q150" s="49">
        <v>54818</v>
      </c>
      <c r="R150" s="78">
        <f t="shared" si="287"/>
        <v>72169</v>
      </c>
      <c r="S150" s="78">
        <f t="shared" si="287"/>
        <v>71328.2</v>
      </c>
      <c r="T150" s="78">
        <f t="shared" si="287"/>
        <v>0</v>
      </c>
      <c r="U150" s="78">
        <f t="shared" si="287"/>
        <v>0</v>
      </c>
      <c r="V150" s="78">
        <f t="shared" si="287"/>
        <v>3363.2</v>
      </c>
      <c r="W150" s="78">
        <f t="shared" si="287"/>
        <v>67965</v>
      </c>
      <c r="X150" s="49">
        <f t="shared" si="287"/>
        <v>20796.5893306682</v>
      </c>
      <c r="Y150" s="78"/>
      <c r="Z150" s="105">
        <f t="shared" ref="Z150:AD150" si="288">SUM(Z151:Z155)</f>
        <v>0.151939451277199</v>
      </c>
      <c r="AA150" s="49">
        <f t="shared" si="288"/>
        <v>2111.93796290474</v>
      </c>
      <c r="AB150" s="49">
        <v>11</v>
      </c>
      <c r="AC150" s="49">
        <f t="shared" si="288"/>
        <v>3690.97941176471</v>
      </c>
      <c r="AD150" s="49">
        <f t="shared" si="288"/>
        <v>0</v>
      </c>
      <c r="AE150" s="55">
        <f t="shared" ref="AE150:AI150" si="289">SUM(AE151:AE155)</f>
        <v>39290.4</v>
      </c>
      <c r="AF150" s="49">
        <f t="shared" si="289"/>
        <v>4092.71462422851</v>
      </c>
      <c r="AG150" s="49">
        <f t="shared" si="289"/>
        <v>34</v>
      </c>
      <c r="AH150" s="49">
        <f t="shared" si="289"/>
        <v>341.023069207623</v>
      </c>
      <c r="AI150" s="49">
        <f t="shared" si="289"/>
        <v>0</v>
      </c>
      <c r="AJ150" s="120"/>
      <c r="AK150" s="49">
        <f t="shared" ref="AK150:AO150" si="290">SUM(AK151:AK155)</f>
        <v>979.416647570322</v>
      </c>
      <c r="AL150" s="55">
        <f t="shared" si="290"/>
        <v>463.94</v>
      </c>
      <c r="AM150" s="49">
        <f t="shared" si="290"/>
        <v>1291.71259073059</v>
      </c>
      <c r="AN150" s="121">
        <f t="shared" si="290"/>
        <v>33305</v>
      </c>
      <c r="AO150" s="49" t="e">
        <f t="shared" si="290"/>
        <v>#REF!</v>
      </c>
      <c r="AP150" s="86" t="e">
        <f t="shared" si="274"/>
        <v>#REF!</v>
      </c>
      <c r="AQ150" s="125" t="e">
        <f t="shared" si="275"/>
        <v>#REF!</v>
      </c>
      <c r="AR150" s="49">
        <v>1500</v>
      </c>
      <c r="AS150" s="49">
        <v>254</v>
      </c>
      <c r="AT150" s="49">
        <v>297</v>
      </c>
      <c r="AU150" s="49">
        <f>SUM(AU151:AU155)</f>
        <v>35356</v>
      </c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</row>
    <row r="151" ht="17" customHeight="1" spans="1:47">
      <c r="A151" s="31">
        <v>100</v>
      </c>
      <c r="B151" s="51" t="s">
        <v>192</v>
      </c>
      <c r="C151" s="31" t="s">
        <v>90</v>
      </c>
      <c r="D151" s="31">
        <v>2019</v>
      </c>
      <c r="E151" s="31"/>
      <c r="F151" s="31"/>
      <c r="G151" s="44">
        <v>10431</v>
      </c>
      <c r="H151" s="44"/>
      <c r="I151" s="44"/>
      <c r="J151" s="75">
        <v>86550</v>
      </c>
      <c r="K151" s="76">
        <f t="shared" si="280"/>
        <v>69240</v>
      </c>
      <c r="L151" s="76">
        <f t="shared" si="281"/>
        <v>0</v>
      </c>
      <c r="M151" s="76">
        <f t="shared" si="282"/>
        <v>0</v>
      </c>
      <c r="N151" s="76">
        <f t="shared" si="283"/>
        <v>0</v>
      </c>
      <c r="O151" s="76">
        <f t="shared" si="284"/>
        <v>69240</v>
      </c>
      <c r="P151" s="76">
        <f t="shared" si="285"/>
        <v>0</v>
      </c>
      <c r="Q151" s="44">
        <v>17475</v>
      </c>
      <c r="R151" s="76">
        <v>18864</v>
      </c>
      <c r="S151" s="76">
        <f t="shared" ref="S151:S155" si="291">T151+U151+V151+W151</f>
        <v>18864</v>
      </c>
      <c r="T151" s="76"/>
      <c r="U151" s="76"/>
      <c r="V151" s="76"/>
      <c r="W151" s="76">
        <f t="shared" ref="W151:W155" si="292">R151*1</f>
        <v>18864</v>
      </c>
      <c r="X151" s="44">
        <f t="shared" ref="X151:X155" si="293">(K151/$K$10*0.2+Q151/$Q$10*0.05+S151/$S$10*0.05)*1254933</f>
        <v>6224.08916785569</v>
      </c>
      <c r="Y151" s="76">
        <v>14854</v>
      </c>
      <c r="Z151" s="103">
        <f t="shared" ref="Z151:Z155" si="294">IF(Y151&lt;12842,(12842-Y151)/(12842-$Y$176),0)</f>
        <v>0</v>
      </c>
      <c r="AA151" s="44">
        <f t="shared" ref="AA151:AA155" si="295">(Z151/$Z$10*0.2)*1254933</f>
        <v>0</v>
      </c>
      <c r="AB151" s="44"/>
      <c r="AC151" s="44"/>
      <c r="AD151" s="44"/>
      <c r="AE151" s="76"/>
      <c r="AF151" s="44"/>
      <c r="AG151" s="44">
        <f>VLOOKUP(B:B,[2]Sheet2!$B:$E,4,0)</f>
        <v>10</v>
      </c>
      <c r="AH151" s="44">
        <f t="shared" ref="AH151:AH155" si="296">AG151/$AG$10*10000</f>
        <v>100.300902708124</v>
      </c>
      <c r="AI151" s="44"/>
      <c r="AJ151" s="115">
        <f>VLOOKUP(B:B,'[1]扶贫资金项目情况调度统计表 (2)'!$B:$I,8,0)</f>
        <v>0.595410063278151</v>
      </c>
      <c r="AK151" s="44">
        <f t="shared" ref="AK151:AK155" si="297">AJ151/$AJ$10*0.025*1254933</f>
        <v>182.671694651981</v>
      </c>
      <c r="AL151" s="76">
        <v>87.85</v>
      </c>
      <c r="AM151" s="44">
        <f t="shared" ref="AM151:AM155" si="298">(AL151/$AL$10)*0.025*1254933</f>
        <v>244.594023140239</v>
      </c>
      <c r="AN151" s="67">
        <f t="shared" ref="AN151:AN155" si="299">ROUND(AM151+AK151+AI151+AF151+AH151+AD151+AC151+AA151+X151,0)</f>
        <v>6752</v>
      </c>
      <c r="AO151" s="44" t="e">
        <f>#REF!*1254933/1408452</f>
        <v>#REF!</v>
      </c>
      <c r="AP151" s="44" t="e">
        <f t="shared" si="274"/>
        <v>#REF!</v>
      </c>
      <c r="AQ151" s="126" t="e">
        <f t="shared" si="275"/>
        <v>#REF!</v>
      </c>
      <c r="AR151" s="44">
        <v>500</v>
      </c>
      <c r="AS151" s="44">
        <v>254</v>
      </c>
      <c r="AT151" s="44">
        <v>0</v>
      </c>
      <c r="AU151" s="127">
        <f t="shared" si="286"/>
        <v>7506</v>
      </c>
    </row>
    <row r="152" ht="17" customHeight="1" spans="1:47">
      <c r="A152" s="31">
        <v>101</v>
      </c>
      <c r="B152" s="51" t="s">
        <v>193</v>
      </c>
      <c r="C152" s="31" t="s">
        <v>90</v>
      </c>
      <c r="D152" s="31">
        <v>2019</v>
      </c>
      <c r="E152" s="31" t="s">
        <v>91</v>
      </c>
      <c r="F152" s="31"/>
      <c r="G152" s="44">
        <v>15685</v>
      </c>
      <c r="H152" s="44"/>
      <c r="I152" s="44"/>
      <c r="J152" s="75">
        <v>81855</v>
      </c>
      <c r="K152" s="76">
        <f t="shared" si="280"/>
        <v>65484</v>
      </c>
      <c r="L152" s="76">
        <f t="shared" si="281"/>
        <v>0</v>
      </c>
      <c r="M152" s="76">
        <f t="shared" si="282"/>
        <v>0</v>
      </c>
      <c r="N152" s="76">
        <f t="shared" si="283"/>
        <v>0</v>
      </c>
      <c r="O152" s="76">
        <f t="shared" si="284"/>
        <v>65484</v>
      </c>
      <c r="P152" s="76">
        <f t="shared" si="285"/>
        <v>0</v>
      </c>
      <c r="Q152" s="44">
        <v>9258</v>
      </c>
      <c r="R152" s="76">
        <v>21939</v>
      </c>
      <c r="S152" s="76">
        <f t="shared" si="291"/>
        <v>21939</v>
      </c>
      <c r="T152" s="76"/>
      <c r="U152" s="76"/>
      <c r="V152" s="76"/>
      <c r="W152" s="76">
        <f t="shared" si="292"/>
        <v>21939</v>
      </c>
      <c r="X152" s="44">
        <f t="shared" si="293"/>
        <v>5615.16487581233</v>
      </c>
      <c r="Y152" s="76">
        <v>12255</v>
      </c>
      <c r="Z152" s="103">
        <f t="shared" si="294"/>
        <v>0.111069063386944</v>
      </c>
      <c r="AA152" s="44">
        <f t="shared" si="295"/>
        <v>1543.84506130147</v>
      </c>
      <c r="AB152" s="44"/>
      <c r="AC152" s="44"/>
      <c r="AD152" s="44"/>
      <c r="AE152" s="76">
        <f>K152*0.6</f>
        <v>39290.4</v>
      </c>
      <c r="AF152" s="44">
        <f>AE152/$AE$10*372626.55</f>
        <v>4092.71462422851</v>
      </c>
      <c r="AG152" s="44">
        <f>VLOOKUP(B:B,[2]Sheet2!$B:$E,4,0)</f>
        <v>6</v>
      </c>
      <c r="AH152" s="44">
        <f t="shared" si="296"/>
        <v>60.1805416248746</v>
      </c>
      <c r="AI152" s="44"/>
      <c r="AJ152" s="115">
        <f>VLOOKUP(B:B,'[1]扶贫资金项目情况调度统计表 (2)'!$B:$I,8,0)</f>
        <v>0.591552990823991</v>
      </c>
      <c r="AK152" s="44">
        <f t="shared" si="297"/>
        <v>181.488345553517</v>
      </c>
      <c r="AL152" s="76">
        <v>91.68</v>
      </c>
      <c r="AM152" s="44">
        <f t="shared" si="298"/>
        <v>255.257598651077</v>
      </c>
      <c r="AN152" s="67">
        <f t="shared" si="299"/>
        <v>11749</v>
      </c>
      <c r="AO152" s="44" t="e">
        <f>#REF!*1254933/1408452</f>
        <v>#REF!</v>
      </c>
      <c r="AP152" s="44" t="e">
        <f t="shared" si="274"/>
        <v>#REF!</v>
      </c>
      <c r="AQ152" s="126" t="e">
        <f t="shared" si="275"/>
        <v>#REF!</v>
      </c>
      <c r="AR152" s="44">
        <v>500</v>
      </c>
      <c r="AS152" s="44">
        <v>0</v>
      </c>
      <c r="AT152" s="44">
        <v>106</v>
      </c>
      <c r="AU152" s="127">
        <f t="shared" si="286"/>
        <v>12355</v>
      </c>
    </row>
    <row r="153" ht="17" customHeight="1" spans="1:47">
      <c r="A153" s="31">
        <v>102</v>
      </c>
      <c r="B153" s="51" t="s">
        <v>194</v>
      </c>
      <c r="C153" s="31" t="s">
        <v>78</v>
      </c>
      <c r="D153" s="31"/>
      <c r="E153" s="31"/>
      <c r="F153" s="31" t="s">
        <v>146</v>
      </c>
      <c r="G153" s="44">
        <v>8463</v>
      </c>
      <c r="H153" s="44"/>
      <c r="I153" s="44"/>
      <c r="J153" s="75">
        <v>46649</v>
      </c>
      <c r="K153" s="76">
        <f t="shared" si="280"/>
        <v>9329.8</v>
      </c>
      <c r="L153" s="76">
        <f t="shared" si="281"/>
        <v>9329.8</v>
      </c>
      <c r="M153" s="76">
        <f t="shared" si="282"/>
        <v>0</v>
      </c>
      <c r="N153" s="76">
        <f t="shared" si="283"/>
        <v>0</v>
      </c>
      <c r="O153" s="76">
        <f t="shared" si="284"/>
        <v>0</v>
      </c>
      <c r="P153" s="76">
        <f t="shared" si="285"/>
        <v>0</v>
      </c>
      <c r="Q153" s="44">
        <v>9865</v>
      </c>
      <c r="R153" s="76">
        <v>4204</v>
      </c>
      <c r="S153" s="76">
        <f t="shared" si="291"/>
        <v>3363.2</v>
      </c>
      <c r="T153" s="76"/>
      <c r="U153" s="76"/>
      <c r="V153" s="76">
        <f>R153*0.8</f>
        <v>3363.2</v>
      </c>
      <c r="W153" s="76"/>
      <c r="X153" s="44">
        <f t="shared" si="293"/>
        <v>1459.8008546873</v>
      </c>
      <c r="Y153" s="76">
        <v>13463</v>
      </c>
      <c r="Z153" s="103">
        <f t="shared" si="294"/>
        <v>0</v>
      </c>
      <c r="AA153" s="44">
        <f t="shared" si="295"/>
        <v>0</v>
      </c>
      <c r="AB153" s="44">
        <v>6</v>
      </c>
      <c r="AC153" s="44">
        <f>AB153/$AB$10*0.1*1254933</f>
        <v>2013.2614973262</v>
      </c>
      <c r="AD153" s="44"/>
      <c r="AE153" s="76"/>
      <c r="AF153" s="44"/>
      <c r="AG153" s="44">
        <f>VLOOKUP(B:B,[2]Sheet2!$B:$E,4,0)</f>
        <v>6</v>
      </c>
      <c r="AH153" s="44">
        <f t="shared" si="296"/>
        <v>60.1805416248746</v>
      </c>
      <c r="AI153" s="44"/>
      <c r="AJ153" s="115">
        <f>VLOOKUP(B:B,'[1]扶贫资金项目情况调度统计表 (2)'!$B:$I,8,0)</f>
        <v>0.613416875522139</v>
      </c>
      <c r="AK153" s="44">
        <f t="shared" si="297"/>
        <v>188.196181238216</v>
      </c>
      <c r="AL153" s="76">
        <v>95.98</v>
      </c>
      <c r="AM153" s="44">
        <f t="shared" si="298"/>
        <v>267.229759146274</v>
      </c>
      <c r="AN153" s="67">
        <f t="shared" si="299"/>
        <v>3989</v>
      </c>
      <c r="AO153" s="44" t="e">
        <f>#REF!*1254933/1408452</f>
        <v>#REF!</v>
      </c>
      <c r="AP153" s="44" t="e">
        <f t="shared" si="274"/>
        <v>#REF!</v>
      </c>
      <c r="AQ153" s="126" t="e">
        <f t="shared" si="275"/>
        <v>#REF!</v>
      </c>
      <c r="AR153" s="44">
        <v>0</v>
      </c>
      <c r="AS153" s="44">
        <v>0</v>
      </c>
      <c r="AT153" s="44">
        <v>98</v>
      </c>
      <c r="AU153" s="127">
        <f t="shared" si="286"/>
        <v>4087</v>
      </c>
    </row>
    <row r="154" ht="17" customHeight="1" spans="1:47">
      <c r="A154" s="31">
        <v>103</v>
      </c>
      <c r="B154" s="51" t="s">
        <v>196</v>
      </c>
      <c r="C154" s="31" t="s">
        <v>90</v>
      </c>
      <c r="D154" s="31">
        <v>2018</v>
      </c>
      <c r="E154" s="31"/>
      <c r="F154" s="31"/>
      <c r="G154" s="44">
        <v>9221</v>
      </c>
      <c r="H154" s="44"/>
      <c r="I154" s="44"/>
      <c r="J154" s="75">
        <v>80286</v>
      </c>
      <c r="K154" s="76">
        <f t="shared" si="280"/>
        <v>48171.6</v>
      </c>
      <c r="L154" s="76">
        <f t="shared" si="281"/>
        <v>0</v>
      </c>
      <c r="M154" s="76">
        <f t="shared" si="282"/>
        <v>0</v>
      </c>
      <c r="N154" s="76">
        <f t="shared" si="283"/>
        <v>48171.6</v>
      </c>
      <c r="O154" s="76">
        <f t="shared" si="284"/>
        <v>0</v>
      </c>
      <c r="P154" s="76">
        <f t="shared" si="285"/>
        <v>0</v>
      </c>
      <c r="Q154" s="44">
        <v>8527</v>
      </c>
      <c r="R154" s="76">
        <v>13532</v>
      </c>
      <c r="S154" s="76">
        <f t="shared" si="291"/>
        <v>13532</v>
      </c>
      <c r="T154" s="76"/>
      <c r="U154" s="76"/>
      <c r="V154" s="76"/>
      <c r="W154" s="76">
        <f t="shared" si="292"/>
        <v>13532</v>
      </c>
      <c r="X154" s="44">
        <f t="shared" si="293"/>
        <v>4084.21805443641</v>
      </c>
      <c r="Y154" s="76">
        <v>12992</v>
      </c>
      <c r="Z154" s="103">
        <f t="shared" si="294"/>
        <v>0</v>
      </c>
      <c r="AA154" s="44">
        <f t="shared" si="295"/>
        <v>0</v>
      </c>
      <c r="AB154" s="44"/>
      <c r="AC154" s="44"/>
      <c r="AD154" s="44"/>
      <c r="AE154" s="76"/>
      <c r="AF154" s="44"/>
      <c r="AG154" s="44">
        <f>VLOOKUP(B:B,[2]Sheet2!$B:$E,4,0)</f>
        <v>7</v>
      </c>
      <c r="AH154" s="44">
        <f t="shared" si="296"/>
        <v>70.2106318956871</v>
      </c>
      <c r="AI154" s="44"/>
      <c r="AJ154" s="115">
        <f>VLOOKUP(B:B,'[1]扶贫资金项目情况调度统计表 (2)'!$B:$I,8,0)</f>
        <v>0.782447237136721</v>
      </c>
      <c r="AK154" s="44">
        <f t="shared" si="297"/>
        <v>240.054664169749</v>
      </c>
      <c r="AL154" s="76">
        <v>94.31</v>
      </c>
      <c r="AM154" s="44">
        <f t="shared" si="298"/>
        <v>262.580106116744</v>
      </c>
      <c r="AN154" s="67">
        <f t="shared" si="299"/>
        <v>4657</v>
      </c>
      <c r="AO154" s="44" t="e">
        <f>#REF!*1254933/1408452</f>
        <v>#REF!</v>
      </c>
      <c r="AP154" s="44" t="e">
        <f t="shared" si="274"/>
        <v>#REF!</v>
      </c>
      <c r="AQ154" s="126" t="e">
        <f t="shared" si="275"/>
        <v>#REF!</v>
      </c>
      <c r="AR154" s="44">
        <v>500</v>
      </c>
      <c r="AS154" s="44">
        <v>0</v>
      </c>
      <c r="AT154" s="44">
        <v>93</v>
      </c>
      <c r="AU154" s="127">
        <f t="shared" si="286"/>
        <v>5250</v>
      </c>
    </row>
    <row r="155" ht="17" customHeight="1" spans="1:47">
      <c r="A155" s="31">
        <v>104</v>
      </c>
      <c r="B155" s="51" t="s">
        <v>195</v>
      </c>
      <c r="C155" s="31" t="s">
        <v>90</v>
      </c>
      <c r="D155" s="31">
        <v>2018</v>
      </c>
      <c r="E155" s="31"/>
      <c r="F155" s="31" t="s">
        <v>146</v>
      </c>
      <c r="G155" s="44">
        <v>7547</v>
      </c>
      <c r="H155" s="44"/>
      <c r="I155" s="44"/>
      <c r="J155" s="75">
        <v>55995</v>
      </c>
      <c r="K155" s="76">
        <f t="shared" si="280"/>
        <v>33597</v>
      </c>
      <c r="L155" s="76">
        <f t="shared" si="281"/>
        <v>0</v>
      </c>
      <c r="M155" s="76">
        <f t="shared" si="282"/>
        <v>0</v>
      </c>
      <c r="N155" s="76">
        <f t="shared" si="283"/>
        <v>33597</v>
      </c>
      <c r="O155" s="76">
        <f t="shared" si="284"/>
        <v>0</v>
      </c>
      <c r="P155" s="76">
        <f t="shared" si="285"/>
        <v>0</v>
      </c>
      <c r="Q155" s="44">
        <v>9693</v>
      </c>
      <c r="R155" s="76">
        <v>13630</v>
      </c>
      <c r="S155" s="76">
        <f t="shared" si="291"/>
        <v>13630</v>
      </c>
      <c r="T155" s="76"/>
      <c r="U155" s="76"/>
      <c r="V155" s="76"/>
      <c r="W155" s="76">
        <f t="shared" si="292"/>
        <v>13630</v>
      </c>
      <c r="X155" s="44">
        <f t="shared" si="293"/>
        <v>3413.31637787649</v>
      </c>
      <c r="Y155" s="76">
        <v>12626</v>
      </c>
      <c r="Z155" s="103">
        <f t="shared" si="294"/>
        <v>0.0408703878902554</v>
      </c>
      <c r="AA155" s="44">
        <f t="shared" si="295"/>
        <v>568.092901603269</v>
      </c>
      <c r="AB155" s="44">
        <v>5</v>
      </c>
      <c r="AC155" s="44">
        <f>AB155/$AB$10*0.1*1254933</f>
        <v>1677.7179144385</v>
      </c>
      <c r="AD155" s="44"/>
      <c r="AE155" s="76"/>
      <c r="AF155" s="44"/>
      <c r="AG155" s="44">
        <f>VLOOKUP(B:B,[2]Sheet2!$B:$E,4,0)</f>
        <v>5</v>
      </c>
      <c r="AH155" s="44">
        <f t="shared" si="296"/>
        <v>50.1504513540622</v>
      </c>
      <c r="AI155" s="44"/>
      <c r="AJ155" s="115">
        <f>VLOOKUP(B:B,'[1]扶贫资金项目情况调度统计表 (2)'!$B:$I,8,0)</f>
        <v>0.609536758129071</v>
      </c>
      <c r="AK155" s="44">
        <f t="shared" si="297"/>
        <v>187.005761956859</v>
      </c>
      <c r="AL155" s="76">
        <v>94.12</v>
      </c>
      <c r="AM155" s="44">
        <f t="shared" si="298"/>
        <v>262.051103676259</v>
      </c>
      <c r="AN155" s="67">
        <f t="shared" si="299"/>
        <v>6158</v>
      </c>
      <c r="AO155" s="44" t="e">
        <f>#REF!*1254933/1408452</f>
        <v>#REF!</v>
      </c>
      <c r="AP155" s="44" t="e">
        <f t="shared" si="274"/>
        <v>#REF!</v>
      </c>
      <c r="AQ155" s="126" t="e">
        <f t="shared" si="275"/>
        <v>#REF!</v>
      </c>
      <c r="AR155" s="44">
        <v>0</v>
      </c>
      <c r="AS155" s="44">
        <v>0</v>
      </c>
      <c r="AT155" s="44">
        <v>0</v>
      </c>
      <c r="AU155" s="127">
        <f t="shared" si="286"/>
        <v>6158</v>
      </c>
    </row>
    <row r="156" s="6" customFormat="1" ht="17" customHeight="1" spans="1:85">
      <c r="A156" s="39"/>
      <c r="B156" s="40" t="s">
        <v>197</v>
      </c>
      <c r="C156" s="41">
        <v>1</v>
      </c>
      <c r="D156" s="41"/>
      <c r="E156" s="41"/>
      <c r="F156" s="41"/>
      <c r="G156" s="43">
        <v>35960</v>
      </c>
      <c r="H156" s="43">
        <f>H157+H158</f>
        <v>0</v>
      </c>
      <c r="I156" s="43">
        <f>I157+I158</f>
        <v>0</v>
      </c>
      <c r="J156" s="54">
        <f t="shared" ref="J156:X156" si="300">J157+J158</f>
        <v>129655</v>
      </c>
      <c r="K156" s="77">
        <f t="shared" si="300"/>
        <v>73984.6</v>
      </c>
      <c r="L156" s="77">
        <f t="shared" si="300"/>
        <v>2713.6</v>
      </c>
      <c r="M156" s="77">
        <f t="shared" si="300"/>
        <v>8220</v>
      </c>
      <c r="N156" s="77">
        <f t="shared" si="300"/>
        <v>40135.8</v>
      </c>
      <c r="O156" s="77">
        <f t="shared" si="300"/>
        <v>22915.2</v>
      </c>
      <c r="P156" s="77">
        <f t="shared" si="300"/>
        <v>0</v>
      </c>
      <c r="Q156" s="43">
        <v>19292</v>
      </c>
      <c r="R156" s="77">
        <f t="shared" si="300"/>
        <v>17938</v>
      </c>
      <c r="S156" s="77">
        <f t="shared" si="300"/>
        <v>14139.6</v>
      </c>
      <c r="T156" s="77">
        <f t="shared" si="300"/>
        <v>210.8</v>
      </c>
      <c r="U156" s="77">
        <f t="shared" si="300"/>
        <v>0</v>
      </c>
      <c r="V156" s="77">
        <f t="shared" si="300"/>
        <v>13928.8</v>
      </c>
      <c r="W156" s="77">
        <f t="shared" si="300"/>
        <v>0</v>
      </c>
      <c r="X156" s="43">
        <f t="shared" si="300"/>
        <v>6291.61354252238</v>
      </c>
      <c r="Y156" s="77"/>
      <c r="Z156" s="104">
        <f t="shared" ref="Z156:AD156" si="301">Z157+Z158</f>
        <v>0.764049195837275</v>
      </c>
      <c r="AA156" s="43">
        <f t="shared" si="301"/>
        <v>10620.1811883056</v>
      </c>
      <c r="AB156" s="43">
        <v>57</v>
      </c>
      <c r="AC156" s="43">
        <f t="shared" si="301"/>
        <v>19125.9842245989</v>
      </c>
      <c r="AD156" s="43">
        <f t="shared" si="301"/>
        <v>0</v>
      </c>
      <c r="AE156" s="54">
        <f t="shared" ref="AE156:AI156" si="302">AE157+AE158</f>
        <v>37830.6</v>
      </c>
      <c r="AF156" s="43">
        <f t="shared" si="302"/>
        <v>3940.65343858395</v>
      </c>
      <c r="AG156" s="43">
        <f t="shared" si="302"/>
        <v>61</v>
      </c>
      <c r="AH156" s="43">
        <f t="shared" si="302"/>
        <v>611.835506519559</v>
      </c>
      <c r="AI156" s="43">
        <f t="shared" si="302"/>
        <v>0</v>
      </c>
      <c r="AJ156" s="118"/>
      <c r="AK156" s="43">
        <f t="shared" ref="AK156:AO156" si="303">AK157+AK158</f>
        <v>892.382721350337</v>
      </c>
      <c r="AL156" s="54">
        <f t="shared" si="303"/>
        <v>455.64</v>
      </c>
      <c r="AM156" s="43">
        <f t="shared" si="303"/>
        <v>1268.60353675149</v>
      </c>
      <c r="AN156" s="119">
        <f t="shared" si="303"/>
        <v>42752</v>
      </c>
      <c r="AO156" s="43" t="e">
        <f t="shared" si="303"/>
        <v>#REF!</v>
      </c>
      <c r="AP156" s="86" t="e">
        <f t="shared" si="274"/>
        <v>#REF!</v>
      </c>
      <c r="AQ156" s="125" t="e">
        <f t="shared" si="275"/>
        <v>#REF!</v>
      </c>
      <c r="AR156" s="43">
        <v>1480</v>
      </c>
      <c r="AS156" s="43">
        <v>447</v>
      </c>
      <c r="AT156" s="43">
        <v>87</v>
      </c>
      <c r="AU156" s="43">
        <f>AU157+AU158</f>
        <v>44766</v>
      </c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</row>
    <row r="157" ht="17" customHeight="1" spans="1:47">
      <c r="A157" s="29"/>
      <c r="B157" s="30" t="s">
        <v>198</v>
      </c>
      <c r="C157" s="31">
        <v>2</v>
      </c>
      <c r="D157" s="31"/>
      <c r="E157" s="31"/>
      <c r="F157" s="31"/>
      <c r="G157" s="44">
        <v>424</v>
      </c>
      <c r="H157" s="44"/>
      <c r="I157" s="44"/>
      <c r="J157" s="75"/>
      <c r="K157" s="76">
        <f t="shared" ref="K157:K163" si="304">SUM(L157:P157)</f>
        <v>0</v>
      </c>
      <c r="L157" s="76">
        <f t="shared" ref="L157:L163" si="305">IF(D157="",J157*0.2,0)</f>
        <v>0</v>
      </c>
      <c r="M157" s="76">
        <f t="shared" ref="M157:M163" si="306">IF(D157=2017,J157*0.4,0)</f>
        <v>0</v>
      </c>
      <c r="N157" s="76">
        <f t="shared" ref="N157:N163" si="307">IF(D157=2018,J157*0.6,0)</f>
        <v>0</v>
      </c>
      <c r="O157" s="76">
        <f t="shared" ref="O157:O163" si="308">IF(D157=2019,J157*0.8,0)</f>
        <v>0</v>
      </c>
      <c r="P157" s="76">
        <f t="shared" ref="P157:P163" si="309">IF(D157=2020,J157*1,0)</f>
        <v>0</v>
      </c>
      <c r="Q157" s="44"/>
      <c r="R157" s="76"/>
      <c r="S157" s="76">
        <f>O157*0.4+P157*0.6+Q157*0.8+R157*1</f>
        <v>0</v>
      </c>
      <c r="T157" s="76">
        <f>R157-U157-V157-W157</f>
        <v>0</v>
      </c>
      <c r="U157" s="76"/>
      <c r="V157" s="76"/>
      <c r="W157" s="76"/>
      <c r="X157" s="44"/>
      <c r="Y157" s="76"/>
      <c r="Z157" s="103"/>
      <c r="AA157" s="44"/>
      <c r="AB157" s="44"/>
      <c r="AC157" s="44"/>
      <c r="AD157" s="44"/>
      <c r="AE157" s="76"/>
      <c r="AF157" s="44"/>
      <c r="AG157" s="44"/>
      <c r="AH157" s="44"/>
      <c r="AI157" s="44"/>
      <c r="AJ157" s="115"/>
      <c r="AK157" s="44"/>
      <c r="AL157" s="76"/>
      <c r="AM157" s="44"/>
      <c r="AN157" s="44"/>
      <c r="AO157" s="44"/>
      <c r="AP157" s="86">
        <f t="shared" si="274"/>
        <v>0</v>
      </c>
      <c r="AQ157" s="125"/>
      <c r="AR157" s="44"/>
      <c r="AS157" s="44"/>
      <c r="AT157" s="44"/>
      <c r="AU157" s="127">
        <f t="shared" ref="AU157:AU163" si="310">AT157+AS157+AR157+AN157</f>
        <v>0</v>
      </c>
    </row>
    <row r="158" s="7" customFormat="1" ht="17" customHeight="1" spans="1:85">
      <c r="A158" s="45"/>
      <c r="B158" s="46" t="s">
        <v>76</v>
      </c>
      <c r="C158" s="47">
        <v>3</v>
      </c>
      <c r="D158" s="47"/>
      <c r="E158" s="47"/>
      <c r="F158" s="47"/>
      <c r="G158" s="49">
        <v>35536</v>
      </c>
      <c r="H158" s="49">
        <f>SUM(H159:H163)</f>
        <v>0</v>
      </c>
      <c r="I158" s="49">
        <f>SUM(I159:I163)</f>
        <v>0</v>
      </c>
      <c r="J158" s="55">
        <f t="shared" ref="J158:X158" si="311">SUM(J159:J163)</f>
        <v>129655</v>
      </c>
      <c r="K158" s="78">
        <f t="shared" si="311"/>
        <v>73984.6</v>
      </c>
      <c r="L158" s="78">
        <f t="shared" si="311"/>
        <v>2713.6</v>
      </c>
      <c r="M158" s="78">
        <f t="shared" si="311"/>
        <v>8220</v>
      </c>
      <c r="N158" s="78">
        <f t="shared" si="311"/>
        <v>40135.8</v>
      </c>
      <c r="O158" s="78">
        <f t="shared" si="311"/>
        <v>22915.2</v>
      </c>
      <c r="P158" s="78">
        <f t="shared" si="311"/>
        <v>0</v>
      </c>
      <c r="Q158" s="49">
        <v>19292</v>
      </c>
      <c r="R158" s="78">
        <f t="shared" si="311"/>
        <v>17938</v>
      </c>
      <c r="S158" s="78">
        <f t="shared" si="311"/>
        <v>14139.6</v>
      </c>
      <c r="T158" s="78">
        <f t="shared" si="311"/>
        <v>210.8</v>
      </c>
      <c r="U158" s="78">
        <f t="shared" si="311"/>
        <v>0</v>
      </c>
      <c r="V158" s="78">
        <f t="shared" si="311"/>
        <v>13928.8</v>
      </c>
      <c r="W158" s="78">
        <f t="shared" si="311"/>
        <v>0</v>
      </c>
      <c r="X158" s="49">
        <f t="shared" si="311"/>
        <v>6291.61354252238</v>
      </c>
      <c r="Y158" s="78"/>
      <c r="Z158" s="105">
        <f t="shared" ref="Z158:AD158" si="312">SUM(Z159:Z163)</f>
        <v>0.764049195837275</v>
      </c>
      <c r="AA158" s="49">
        <f t="shared" si="312"/>
        <v>10620.1811883056</v>
      </c>
      <c r="AB158" s="49">
        <v>57</v>
      </c>
      <c r="AC158" s="49">
        <f t="shared" si="312"/>
        <v>19125.9842245989</v>
      </c>
      <c r="AD158" s="49">
        <f t="shared" si="312"/>
        <v>0</v>
      </c>
      <c r="AE158" s="55">
        <f t="shared" ref="AE158:AI158" si="313">SUM(AE159:AE163)</f>
        <v>37830.6</v>
      </c>
      <c r="AF158" s="49">
        <f t="shared" si="313"/>
        <v>3940.65343858395</v>
      </c>
      <c r="AG158" s="49">
        <f t="shared" si="313"/>
        <v>61</v>
      </c>
      <c r="AH158" s="49">
        <f t="shared" si="313"/>
        <v>611.835506519559</v>
      </c>
      <c r="AI158" s="49">
        <f t="shared" si="313"/>
        <v>0</v>
      </c>
      <c r="AJ158" s="120"/>
      <c r="AK158" s="49">
        <f t="shared" ref="AK158:AO158" si="314">SUM(AK159:AK163)</f>
        <v>892.382721350337</v>
      </c>
      <c r="AL158" s="55">
        <f t="shared" si="314"/>
        <v>455.64</v>
      </c>
      <c r="AM158" s="49">
        <f t="shared" si="314"/>
        <v>1268.60353675149</v>
      </c>
      <c r="AN158" s="121">
        <f t="shared" si="314"/>
        <v>42752</v>
      </c>
      <c r="AO158" s="49" t="e">
        <f t="shared" si="314"/>
        <v>#REF!</v>
      </c>
      <c r="AP158" s="86" t="e">
        <f t="shared" si="274"/>
        <v>#REF!</v>
      </c>
      <c r="AQ158" s="125" t="e">
        <f t="shared" si="275"/>
        <v>#REF!</v>
      </c>
      <c r="AR158" s="49">
        <v>1480</v>
      </c>
      <c r="AS158" s="49">
        <v>447</v>
      </c>
      <c r="AT158" s="49">
        <v>87</v>
      </c>
      <c r="AU158" s="49">
        <f>SUM(AU159:AU163)</f>
        <v>44766</v>
      </c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</row>
    <row r="159" ht="17" customHeight="1" spans="1:47">
      <c r="A159" s="31">
        <v>105</v>
      </c>
      <c r="B159" s="51" t="s">
        <v>200</v>
      </c>
      <c r="C159" s="31" t="s">
        <v>90</v>
      </c>
      <c r="D159" s="31">
        <v>2017</v>
      </c>
      <c r="E159" s="31"/>
      <c r="F159" s="31" t="s">
        <v>146</v>
      </c>
      <c r="G159" s="44">
        <v>4979</v>
      </c>
      <c r="H159" s="44"/>
      <c r="I159" s="44"/>
      <c r="J159" s="75">
        <v>20550</v>
      </c>
      <c r="K159" s="76">
        <f t="shared" si="304"/>
        <v>8220</v>
      </c>
      <c r="L159" s="76">
        <f t="shared" si="305"/>
        <v>0</v>
      </c>
      <c r="M159" s="76">
        <f t="shared" si="306"/>
        <v>8220</v>
      </c>
      <c r="N159" s="76">
        <f t="shared" si="307"/>
        <v>0</v>
      </c>
      <c r="O159" s="76">
        <f t="shared" si="308"/>
        <v>0</v>
      </c>
      <c r="P159" s="76">
        <f t="shared" si="309"/>
        <v>0</v>
      </c>
      <c r="Q159" s="44">
        <v>3958</v>
      </c>
      <c r="R159" s="76">
        <v>4796</v>
      </c>
      <c r="S159" s="76">
        <f t="shared" ref="S159:S163" si="315">T159+U159+V159+W159</f>
        <v>3836.8</v>
      </c>
      <c r="T159" s="76"/>
      <c r="U159" s="76"/>
      <c r="V159" s="76">
        <f t="shared" ref="V159:V162" si="316">R159*0.8</f>
        <v>3836.8</v>
      </c>
      <c r="W159" s="76"/>
      <c r="X159" s="44">
        <f t="shared" ref="X159:X163" si="317">(K159/$K$10*0.2+Q159/$Q$10*0.05+S159/$S$10*0.05)*1254933</f>
        <v>988.47202054963</v>
      </c>
      <c r="Y159" s="76">
        <v>13618</v>
      </c>
      <c r="Z159" s="103">
        <f t="shared" ref="Z159:Z163" si="318">IF(Y159&lt;12842,(12842-Y159)/(12842-$Y$176),0)</f>
        <v>0</v>
      </c>
      <c r="AA159" s="44">
        <f t="shared" ref="AA159:AA163" si="319">(Z159/$Z$10*0.2)*1254933</f>
        <v>0</v>
      </c>
      <c r="AB159" s="44">
        <v>8</v>
      </c>
      <c r="AC159" s="44">
        <f t="shared" ref="AC159:AC163" si="320">AB159/$AB$10*0.1*1254933</f>
        <v>2684.3486631016</v>
      </c>
      <c r="AD159" s="44"/>
      <c r="AE159" s="76"/>
      <c r="AF159" s="44"/>
      <c r="AG159" s="44">
        <f>VLOOKUP(B:B,[2]Sheet2!$B:$E,4,0)</f>
        <v>8</v>
      </c>
      <c r="AH159" s="44">
        <f t="shared" ref="AH159:AH163" si="321">AG159/$AG$10*10000</f>
        <v>80.2407221664995</v>
      </c>
      <c r="AI159" s="44"/>
      <c r="AJ159" s="115">
        <f>VLOOKUP(B:B,'[1]扶贫资金项目情况调度统计表 (2)'!$B:$I,8,0)</f>
        <v>0.571829091828461</v>
      </c>
      <c r="AK159" s="44">
        <f t="shared" ref="AK159:AK163" si="322">AJ159/$AJ$10*0.025*1254933</f>
        <v>175.4370570771</v>
      </c>
      <c r="AL159" s="76">
        <v>94.52</v>
      </c>
      <c r="AM159" s="44">
        <f t="shared" ref="AM159:AM163" si="323">(AL159/$AL$10)*0.025*1254933</f>
        <v>263.164793024649</v>
      </c>
      <c r="AN159" s="67">
        <f t="shared" ref="AN159:AN163" si="324">ROUND(AM159+AK159+AI159+AF159+AH159+AD159+AC159+AA159+X159,0)</f>
        <v>4192</v>
      </c>
      <c r="AO159" s="44" t="e">
        <f>#REF!*1254933/1408452</f>
        <v>#REF!</v>
      </c>
      <c r="AP159" s="44" t="e">
        <f t="shared" si="274"/>
        <v>#REF!</v>
      </c>
      <c r="AQ159" s="126" t="e">
        <f t="shared" si="275"/>
        <v>#REF!</v>
      </c>
      <c r="AR159" s="44">
        <v>500</v>
      </c>
      <c r="AS159" s="44">
        <v>225</v>
      </c>
      <c r="AT159" s="44">
        <v>0</v>
      </c>
      <c r="AU159" s="127">
        <f t="shared" si="310"/>
        <v>4917</v>
      </c>
    </row>
    <row r="160" ht="17" customHeight="1" spans="1:47">
      <c r="A160" s="31">
        <v>106</v>
      </c>
      <c r="B160" s="51" t="s">
        <v>201</v>
      </c>
      <c r="C160" s="31" t="s">
        <v>90</v>
      </c>
      <c r="D160" s="31">
        <v>2019</v>
      </c>
      <c r="E160" s="31" t="s">
        <v>91</v>
      </c>
      <c r="F160" s="31"/>
      <c r="G160" s="44">
        <v>10652</v>
      </c>
      <c r="H160" s="44"/>
      <c r="I160" s="44"/>
      <c r="J160" s="75">
        <v>28644</v>
      </c>
      <c r="K160" s="76">
        <f t="shared" si="304"/>
        <v>22915.2</v>
      </c>
      <c r="L160" s="76">
        <f t="shared" si="305"/>
        <v>0</v>
      </c>
      <c r="M160" s="76">
        <f t="shared" si="306"/>
        <v>0</v>
      </c>
      <c r="N160" s="76">
        <f t="shared" si="307"/>
        <v>0</v>
      </c>
      <c r="O160" s="76">
        <f t="shared" si="308"/>
        <v>22915.2</v>
      </c>
      <c r="P160" s="76">
        <f t="shared" si="309"/>
        <v>0</v>
      </c>
      <c r="Q160" s="44">
        <v>4223</v>
      </c>
      <c r="R160" s="76">
        <v>3702</v>
      </c>
      <c r="S160" s="76">
        <f t="shared" si="315"/>
        <v>2961.6</v>
      </c>
      <c r="T160" s="76"/>
      <c r="U160" s="76"/>
      <c r="V160" s="76">
        <f t="shared" si="316"/>
        <v>2961.6</v>
      </c>
      <c r="W160" s="76"/>
      <c r="X160" s="44">
        <f t="shared" si="317"/>
        <v>1721.10919630663</v>
      </c>
      <c r="Y160" s="76">
        <v>10375</v>
      </c>
      <c r="Z160" s="103">
        <f t="shared" si="318"/>
        <v>0.466792809839167</v>
      </c>
      <c r="AA160" s="44">
        <f t="shared" si="319"/>
        <v>6488.35735303363</v>
      </c>
      <c r="AB160" s="44"/>
      <c r="AC160" s="44"/>
      <c r="AD160" s="44"/>
      <c r="AE160" s="76">
        <f t="shared" ref="AE160:AE162" si="325">K160*0.6</f>
        <v>13749.12</v>
      </c>
      <c r="AF160" s="44">
        <f t="shared" ref="AF160:AF162" si="326">AE160/$AE$10*372626.55</f>
        <v>1432.1876207489</v>
      </c>
      <c r="AG160" s="44">
        <f>VLOOKUP(B:B,[2]Sheet2!$B:$E,4,0)</f>
        <v>4</v>
      </c>
      <c r="AH160" s="44">
        <f t="shared" si="321"/>
        <v>40.1203610832497</v>
      </c>
      <c r="AI160" s="44"/>
      <c r="AJ160" s="115">
        <f>VLOOKUP(B:B,'[1]扶贫资金项目情况调度统计表 (2)'!$B:$I,8,0)</f>
        <v>0.382904301565937</v>
      </c>
      <c r="AK160" s="44">
        <f t="shared" si="322"/>
        <v>117.474967204085</v>
      </c>
      <c r="AL160" s="76">
        <v>88.51</v>
      </c>
      <c r="AM160" s="44">
        <f t="shared" si="323"/>
        <v>246.431610565083</v>
      </c>
      <c r="AN160" s="67">
        <f t="shared" si="324"/>
        <v>10046</v>
      </c>
      <c r="AO160" s="44" t="e">
        <f>#REF!*1254933/1408452</f>
        <v>#REF!</v>
      </c>
      <c r="AP160" s="44" t="e">
        <f t="shared" si="274"/>
        <v>#REF!</v>
      </c>
      <c r="AQ160" s="126" t="e">
        <f t="shared" si="275"/>
        <v>#REF!</v>
      </c>
      <c r="AR160" s="44">
        <v>0</v>
      </c>
      <c r="AS160" s="44">
        <v>0</v>
      </c>
      <c r="AT160" s="44">
        <v>0</v>
      </c>
      <c r="AU160" s="127">
        <f t="shared" si="310"/>
        <v>10046</v>
      </c>
    </row>
    <row r="161" ht="17" customHeight="1" spans="1:47">
      <c r="A161" s="31">
        <v>107</v>
      </c>
      <c r="B161" s="51" t="s">
        <v>202</v>
      </c>
      <c r="C161" s="31" t="s">
        <v>90</v>
      </c>
      <c r="D161" s="31">
        <v>2018</v>
      </c>
      <c r="E161" s="31" t="s">
        <v>91</v>
      </c>
      <c r="F161" s="31" t="s">
        <v>146</v>
      </c>
      <c r="G161" s="44">
        <v>9068</v>
      </c>
      <c r="H161" s="44"/>
      <c r="I161" s="44"/>
      <c r="J161" s="75">
        <v>38110</v>
      </c>
      <c r="K161" s="76">
        <f t="shared" si="304"/>
        <v>22866</v>
      </c>
      <c r="L161" s="76">
        <f t="shared" si="305"/>
        <v>0</v>
      </c>
      <c r="M161" s="76">
        <f t="shared" si="306"/>
        <v>0</v>
      </c>
      <c r="N161" s="76">
        <f t="shared" si="307"/>
        <v>22866</v>
      </c>
      <c r="O161" s="76">
        <f t="shared" si="308"/>
        <v>0</v>
      </c>
      <c r="P161" s="76">
        <f t="shared" si="309"/>
        <v>0</v>
      </c>
      <c r="Q161" s="44">
        <v>5824</v>
      </c>
      <c r="R161" s="76">
        <v>3888</v>
      </c>
      <c r="S161" s="76">
        <f t="shared" si="315"/>
        <v>3110.4</v>
      </c>
      <c r="T161" s="76"/>
      <c r="U161" s="76"/>
      <c r="V161" s="76">
        <f t="shared" si="316"/>
        <v>3110.4</v>
      </c>
      <c r="W161" s="76"/>
      <c r="X161" s="44">
        <f t="shared" si="317"/>
        <v>1849.1617574132</v>
      </c>
      <c r="Y161" s="76">
        <v>12679</v>
      </c>
      <c r="Z161" s="103">
        <f t="shared" si="318"/>
        <v>0.0308420056764428</v>
      </c>
      <c r="AA161" s="44">
        <f t="shared" si="319"/>
        <v>428.699735932097</v>
      </c>
      <c r="AB161" s="44">
        <v>22</v>
      </c>
      <c r="AC161" s="44">
        <f t="shared" si="320"/>
        <v>7381.95882352941</v>
      </c>
      <c r="AD161" s="44"/>
      <c r="AE161" s="76">
        <f t="shared" si="325"/>
        <v>13719.6</v>
      </c>
      <c r="AF161" s="44">
        <f t="shared" si="326"/>
        <v>1429.11264732773</v>
      </c>
      <c r="AG161" s="44">
        <f>VLOOKUP(B:B,[2]Sheet2!$B:$E,4,0)</f>
        <v>22</v>
      </c>
      <c r="AH161" s="44">
        <f t="shared" si="321"/>
        <v>220.661985957874</v>
      </c>
      <c r="AI161" s="44"/>
      <c r="AJ161" s="115">
        <f>VLOOKUP(B:B,'[1]扶贫资金项目情况调度统计表 (2)'!$B:$I,8,0)</f>
        <v>0.675843045617965</v>
      </c>
      <c r="AK161" s="44">
        <f t="shared" si="322"/>
        <v>207.348518401033</v>
      </c>
      <c r="AL161" s="76">
        <v>89.98</v>
      </c>
      <c r="AM161" s="44">
        <f t="shared" si="323"/>
        <v>250.524418920418</v>
      </c>
      <c r="AN161" s="67">
        <f t="shared" si="324"/>
        <v>11767</v>
      </c>
      <c r="AO161" s="44" t="e">
        <f>#REF!*1254933/1408452</f>
        <v>#REF!</v>
      </c>
      <c r="AP161" s="44" t="e">
        <f t="shared" si="274"/>
        <v>#REF!</v>
      </c>
      <c r="AQ161" s="126" t="e">
        <f t="shared" si="275"/>
        <v>#REF!</v>
      </c>
      <c r="AR161" s="44">
        <v>500</v>
      </c>
      <c r="AS161" s="44">
        <v>222</v>
      </c>
      <c r="AT161" s="44">
        <v>0</v>
      </c>
      <c r="AU161" s="127">
        <f t="shared" si="310"/>
        <v>12489</v>
      </c>
    </row>
    <row r="162" ht="17" customHeight="1" spans="1:47">
      <c r="A162" s="31">
        <v>108</v>
      </c>
      <c r="B162" s="51" t="s">
        <v>203</v>
      </c>
      <c r="C162" s="31" t="s">
        <v>90</v>
      </c>
      <c r="D162" s="31">
        <v>2018</v>
      </c>
      <c r="E162" s="31" t="s">
        <v>91</v>
      </c>
      <c r="F162" s="31" t="s">
        <v>146</v>
      </c>
      <c r="G162" s="44">
        <v>8978</v>
      </c>
      <c r="H162" s="44"/>
      <c r="I162" s="44"/>
      <c r="J162" s="75">
        <v>28783</v>
      </c>
      <c r="K162" s="76">
        <f t="shared" si="304"/>
        <v>17269.8</v>
      </c>
      <c r="L162" s="76">
        <f t="shared" si="305"/>
        <v>0</v>
      </c>
      <c r="M162" s="76">
        <f t="shared" si="306"/>
        <v>0</v>
      </c>
      <c r="N162" s="76">
        <f t="shared" si="307"/>
        <v>17269.8</v>
      </c>
      <c r="O162" s="76">
        <f t="shared" si="308"/>
        <v>0</v>
      </c>
      <c r="P162" s="76">
        <f t="shared" si="309"/>
        <v>0</v>
      </c>
      <c r="Q162" s="44">
        <v>3602</v>
      </c>
      <c r="R162" s="76">
        <v>5025</v>
      </c>
      <c r="S162" s="76">
        <f t="shared" si="315"/>
        <v>4020</v>
      </c>
      <c r="T162" s="76"/>
      <c r="U162" s="76"/>
      <c r="V162" s="76">
        <f t="shared" si="316"/>
        <v>4020</v>
      </c>
      <c r="W162" s="76"/>
      <c r="X162" s="44">
        <f t="shared" si="317"/>
        <v>1449.22973130981</v>
      </c>
      <c r="Y162" s="76">
        <v>11434</v>
      </c>
      <c r="Z162" s="103">
        <f t="shared" si="318"/>
        <v>0.266414380321665</v>
      </c>
      <c r="AA162" s="44">
        <f t="shared" si="319"/>
        <v>3703.12409933983</v>
      </c>
      <c r="AB162" s="44">
        <v>7</v>
      </c>
      <c r="AC162" s="44">
        <f t="shared" si="320"/>
        <v>2348.8050802139</v>
      </c>
      <c r="AD162" s="44"/>
      <c r="AE162" s="76">
        <f t="shared" si="325"/>
        <v>10361.88</v>
      </c>
      <c r="AF162" s="44">
        <f t="shared" si="326"/>
        <v>1079.35317050732</v>
      </c>
      <c r="AG162" s="44">
        <f>VLOOKUP(B:B,[2]Sheet2!$B:$E,4,0)</f>
        <v>7</v>
      </c>
      <c r="AH162" s="44">
        <f t="shared" si="321"/>
        <v>70.2106318956871</v>
      </c>
      <c r="AI162" s="44"/>
      <c r="AJ162" s="115">
        <f>VLOOKUP(B:B,'[1]扶贫资金项目情况调度统计表 (2)'!$B:$I,8,0)</f>
        <v>0.57188271995946</v>
      </c>
      <c r="AK162" s="44">
        <f t="shared" si="322"/>
        <v>175.453510177534</v>
      </c>
      <c r="AL162" s="76">
        <v>92.07</v>
      </c>
      <c r="AM162" s="44">
        <f t="shared" si="323"/>
        <v>256.343445765758</v>
      </c>
      <c r="AN162" s="67">
        <f t="shared" si="324"/>
        <v>9083</v>
      </c>
      <c r="AO162" s="44" t="e">
        <f>#REF!*1254933/1408452</f>
        <v>#REF!</v>
      </c>
      <c r="AP162" s="44" t="e">
        <f t="shared" si="274"/>
        <v>#REF!</v>
      </c>
      <c r="AQ162" s="126" t="e">
        <f t="shared" si="275"/>
        <v>#REF!</v>
      </c>
      <c r="AR162" s="44">
        <v>480</v>
      </c>
      <c r="AS162" s="44">
        <v>0</v>
      </c>
      <c r="AT162" s="44">
        <v>87</v>
      </c>
      <c r="AU162" s="127">
        <f t="shared" si="310"/>
        <v>9650</v>
      </c>
    </row>
    <row r="163" ht="17" customHeight="1" spans="1:47">
      <c r="A163" s="31">
        <v>109</v>
      </c>
      <c r="B163" s="51" t="s">
        <v>199</v>
      </c>
      <c r="C163" s="31" t="s">
        <v>78</v>
      </c>
      <c r="D163" s="31"/>
      <c r="E163" s="31"/>
      <c r="F163" s="31" t="s">
        <v>146</v>
      </c>
      <c r="G163" s="44">
        <v>1859</v>
      </c>
      <c r="H163" s="44"/>
      <c r="I163" s="44"/>
      <c r="J163" s="75">
        <v>13568</v>
      </c>
      <c r="K163" s="76">
        <f t="shared" si="304"/>
        <v>2713.6</v>
      </c>
      <c r="L163" s="76">
        <f t="shared" si="305"/>
        <v>2713.6</v>
      </c>
      <c r="M163" s="76">
        <f t="shared" si="306"/>
        <v>0</v>
      </c>
      <c r="N163" s="76">
        <f t="shared" si="307"/>
        <v>0</v>
      </c>
      <c r="O163" s="76">
        <f t="shared" si="308"/>
        <v>0</v>
      </c>
      <c r="P163" s="76">
        <f t="shared" si="309"/>
        <v>0</v>
      </c>
      <c r="Q163" s="44">
        <v>1685</v>
      </c>
      <c r="R163" s="76">
        <v>527</v>
      </c>
      <c r="S163" s="76">
        <f t="shared" si="315"/>
        <v>210.8</v>
      </c>
      <c r="T163" s="76">
        <f>R163*0.4</f>
        <v>210.8</v>
      </c>
      <c r="U163" s="76"/>
      <c r="V163" s="76"/>
      <c r="W163" s="76"/>
      <c r="X163" s="44">
        <f t="shared" si="317"/>
        <v>283.6408369431</v>
      </c>
      <c r="Y163" s="76">
        <v>13955</v>
      </c>
      <c r="Z163" s="103">
        <f t="shared" si="318"/>
        <v>0</v>
      </c>
      <c r="AA163" s="44">
        <f t="shared" si="319"/>
        <v>0</v>
      </c>
      <c r="AB163" s="44">
        <v>20</v>
      </c>
      <c r="AC163" s="44">
        <f t="shared" si="320"/>
        <v>6710.87165775401</v>
      </c>
      <c r="AD163" s="44"/>
      <c r="AE163" s="76"/>
      <c r="AF163" s="44"/>
      <c r="AG163" s="44">
        <f>VLOOKUP(B:B,[2]Sheet2!$B:$E,4,0)</f>
        <v>20</v>
      </c>
      <c r="AH163" s="44">
        <f t="shared" si="321"/>
        <v>200.601805416249</v>
      </c>
      <c r="AI163" s="44"/>
      <c r="AJ163" s="115">
        <f>VLOOKUP(B:B,'[1]扶贫资金项目情况调度统计表 (2)'!$B:$I,8,0)</f>
        <v>0.706221650059964</v>
      </c>
      <c r="AK163" s="44">
        <f t="shared" si="322"/>
        <v>216.668668490585</v>
      </c>
      <c r="AL163" s="76">
        <v>90.56</v>
      </c>
      <c r="AM163" s="44">
        <f t="shared" si="323"/>
        <v>252.139268475584</v>
      </c>
      <c r="AN163" s="67">
        <f t="shared" si="324"/>
        <v>7664</v>
      </c>
      <c r="AO163" s="44" t="e">
        <f>#REF!*1254933/1408452</f>
        <v>#REF!</v>
      </c>
      <c r="AP163" s="44" t="e">
        <f t="shared" si="274"/>
        <v>#REF!</v>
      </c>
      <c r="AQ163" s="126" t="e">
        <f t="shared" si="275"/>
        <v>#REF!</v>
      </c>
      <c r="AR163" s="44">
        <v>0</v>
      </c>
      <c r="AS163" s="44">
        <v>0</v>
      </c>
      <c r="AT163" s="44">
        <v>0</v>
      </c>
      <c r="AU163" s="127">
        <f t="shared" si="310"/>
        <v>7664</v>
      </c>
    </row>
    <row r="164" s="6" customFormat="1" ht="17" customHeight="1" spans="1:85">
      <c r="A164" s="39"/>
      <c r="B164" s="40" t="s">
        <v>204</v>
      </c>
      <c r="C164" s="41">
        <v>1</v>
      </c>
      <c r="D164" s="41"/>
      <c r="E164" s="41"/>
      <c r="F164" s="41"/>
      <c r="G164" s="43">
        <v>45575</v>
      </c>
      <c r="H164" s="43">
        <f>H165+H166</f>
        <v>0</v>
      </c>
      <c r="I164" s="43">
        <f>I165+I166</f>
        <v>0</v>
      </c>
      <c r="J164" s="54">
        <f t="shared" ref="J164:X164" si="327">J165+J166</f>
        <v>163512</v>
      </c>
      <c r="K164" s="77">
        <f t="shared" si="327"/>
        <v>129400.2</v>
      </c>
      <c r="L164" s="77">
        <f t="shared" si="327"/>
        <v>3447.6</v>
      </c>
      <c r="M164" s="77">
        <f t="shared" si="327"/>
        <v>5837.2</v>
      </c>
      <c r="N164" s="77">
        <f t="shared" si="327"/>
        <v>0</v>
      </c>
      <c r="O164" s="77">
        <f t="shared" si="327"/>
        <v>46262.4</v>
      </c>
      <c r="P164" s="77">
        <f t="shared" si="327"/>
        <v>73853</v>
      </c>
      <c r="Q164" s="43">
        <v>25542</v>
      </c>
      <c r="R164" s="77">
        <f t="shared" si="327"/>
        <v>24965</v>
      </c>
      <c r="S164" s="77">
        <f t="shared" si="327"/>
        <v>22956.8</v>
      </c>
      <c r="T164" s="77">
        <f t="shared" si="327"/>
        <v>368.4</v>
      </c>
      <c r="U164" s="77">
        <f t="shared" si="327"/>
        <v>2183.4</v>
      </c>
      <c r="V164" s="77">
        <f t="shared" si="327"/>
        <v>0</v>
      </c>
      <c r="W164" s="77">
        <f t="shared" si="327"/>
        <v>20405</v>
      </c>
      <c r="X164" s="43">
        <f t="shared" si="327"/>
        <v>10266.8477910835</v>
      </c>
      <c r="Y164" s="77"/>
      <c r="Z164" s="104">
        <f t="shared" ref="Z164:AD164" si="328">Z165+Z166</f>
        <v>0.732261116367077</v>
      </c>
      <c r="AA164" s="43">
        <f t="shared" si="328"/>
        <v>10178.3311537252</v>
      </c>
      <c r="AB164" s="43">
        <v>0</v>
      </c>
      <c r="AC164" s="43">
        <f t="shared" si="328"/>
        <v>0</v>
      </c>
      <c r="AD164" s="43">
        <f t="shared" si="328"/>
        <v>1800</v>
      </c>
      <c r="AE164" s="54">
        <f t="shared" ref="AE164:AI164" si="329">AE165+AE166</f>
        <v>101610.44</v>
      </c>
      <c r="AF164" s="43">
        <f t="shared" si="329"/>
        <v>10584.3293466672</v>
      </c>
      <c r="AG164" s="43">
        <f t="shared" si="329"/>
        <v>23</v>
      </c>
      <c r="AH164" s="43">
        <f t="shared" si="329"/>
        <v>230.692076228686</v>
      </c>
      <c r="AI164" s="43">
        <f t="shared" si="329"/>
        <v>0</v>
      </c>
      <c r="AJ164" s="118"/>
      <c r="AK164" s="43">
        <f t="shared" ref="AK164:AO164" si="330">AK165+AK166</f>
        <v>1163.41686262295</v>
      </c>
      <c r="AL164" s="54">
        <f t="shared" si="330"/>
        <v>450.44</v>
      </c>
      <c r="AM164" s="43">
        <f t="shared" si="330"/>
        <v>1254.12557522242</v>
      </c>
      <c r="AN164" s="119">
        <f t="shared" si="330"/>
        <v>35478</v>
      </c>
      <c r="AO164" s="43" t="e">
        <f t="shared" si="330"/>
        <v>#REF!</v>
      </c>
      <c r="AP164" s="86" t="e">
        <f t="shared" si="274"/>
        <v>#REF!</v>
      </c>
      <c r="AQ164" s="125" t="e">
        <f t="shared" si="275"/>
        <v>#REF!</v>
      </c>
      <c r="AR164" s="43">
        <v>495</v>
      </c>
      <c r="AS164" s="43">
        <v>0</v>
      </c>
      <c r="AT164" s="43">
        <v>0</v>
      </c>
      <c r="AU164" s="43">
        <f>AU165+AU166</f>
        <v>35973</v>
      </c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</row>
    <row r="165" ht="17" customHeight="1" spans="1:47">
      <c r="A165" s="29"/>
      <c r="B165" s="30" t="s">
        <v>205</v>
      </c>
      <c r="C165" s="31">
        <v>2</v>
      </c>
      <c r="D165" s="31"/>
      <c r="E165" s="31"/>
      <c r="F165" s="31"/>
      <c r="G165" s="44">
        <v>1260</v>
      </c>
      <c r="H165" s="44"/>
      <c r="I165" s="44"/>
      <c r="J165" s="75"/>
      <c r="K165" s="76">
        <f t="shared" ref="K165:K171" si="331">SUM(L165:P165)</f>
        <v>0</v>
      </c>
      <c r="L165" s="76">
        <f t="shared" ref="L165:L171" si="332">IF(D165="",J165*0.2,0)</f>
        <v>0</v>
      </c>
      <c r="M165" s="76">
        <f t="shared" ref="M165:M171" si="333">IF(D165=2017,J165*0.4,0)</f>
        <v>0</v>
      </c>
      <c r="N165" s="76">
        <f t="shared" ref="N165:N171" si="334">IF(D165=2018,J165*0.6,0)</f>
        <v>0</v>
      </c>
      <c r="O165" s="76">
        <f t="shared" ref="O165:O171" si="335">IF(D165=2019,J165*0.8,0)</f>
        <v>0</v>
      </c>
      <c r="P165" s="76">
        <f t="shared" ref="P165:P171" si="336">IF(D165=2020,J165*1,0)</f>
        <v>0</v>
      </c>
      <c r="Q165" s="44"/>
      <c r="R165" s="76"/>
      <c r="S165" s="76">
        <f>O165*0.4+P165*0.6+Q165*0.8+R165*1</f>
        <v>0</v>
      </c>
      <c r="T165" s="76">
        <f>R165-U165-V165-W165</f>
        <v>0</v>
      </c>
      <c r="U165" s="76"/>
      <c r="V165" s="76"/>
      <c r="W165" s="76"/>
      <c r="X165" s="44"/>
      <c r="Y165" s="76"/>
      <c r="Z165" s="103"/>
      <c r="AA165" s="44"/>
      <c r="AB165" s="44"/>
      <c r="AC165" s="44"/>
      <c r="AD165" s="44"/>
      <c r="AE165" s="76"/>
      <c r="AF165" s="44"/>
      <c r="AG165" s="44"/>
      <c r="AH165" s="44"/>
      <c r="AI165" s="44"/>
      <c r="AJ165" s="115"/>
      <c r="AK165" s="44"/>
      <c r="AL165" s="76"/>
      <c r="AM165" s="44"/>
      <c r="AN165" s="44"/>
      <c r="AO165" s="44"/>
      <c r="AP165" s="86">
        <f t="shared" si="274"/>
        <v>0</v>
      </c>
      <c r="AQ165" s="125"/>
      <c r="AR165" s="44"/>
      <c r="AS165" s="44"/>
      <c r="AT165" s="44"/>
      <c r="AU165" s="127">
        <f t="shared" ref="AU165:AU171" si="337">AT165+AS165+AR165+AN165</f>
        <v>0</v>
      </c>
    </row>
    <row r="166" s="7" customFormat="1" ht="17" customHeight="1" spans="1:85">
      <c r="A166" s="45"/>
      <c r="B166" s="46" t="s">
        <v>76</v>
      </c>
      <c r="C166" s="47">
        <v>3</v>
      </c>
      <c r="D166" s="47"/>
      <c r="E166" s="47"/>
      <c r="F166" s="47"/>
      <c r="G166" s="49">
        <v>44315</v>
      </c>
      <c r="H166" s="49">
        <f>SUM(H167:H171)</f>
        <v>0</v>
      </c>
      <c r="I166" s="49">
        <f>SUM(I167:I171)</f>
        <v>0</v>
      </c>
      <c r="J166" s="55">
        <f t="shared" ref="J166:X166" si="338">SUM(J167:J171)</f>
        <v>163512</v>
      </c>
      <c r="K166" s="78">
        <f t="shared" si="338"/>
        <v>129400.2</v>
      </c>
      <c r="L166" s="78">
        <f t="shared" si="338"/>
        <v>3447.6</v>
      </c>
      <c r="M166" s="78">
        <f t="shared" si="338"/>
        <v>5837.2</v>
      </c>
      <c r="N166" s="78">
        <f t="shared" si="338"/>
        <v>0</v>
      </c>
      <c r="O166" s="78">
        <f t="shared" si="338"/>
        <v>46262.4</v>
      </c>
      <c r="P166" s="78">
        <f t="shared" si="338"/>
        <v>73853</v>
      </c>
      <c r="Q166" s="49">
        <v>25542</v>
      </c>
      <c r="R166" s="78">
        <f t="shared" si="338"/>
        <v>24965</v>
      </c>
      <c r="S166" s="78">
        <f t="shared" si="338"/>
        <v>22956.8</v>
      </c>
      <c r="T166" s="78">
        <f t="shared" si="338"/>
        <v>368.4</v>
      </c>
      <c r="U166" s="78">
        <f t="shared" si="338"/>
        <v>2183.4</v>
      </c>
      <c r="V166" s="78">
        <f t="shared" si="338"/>
        <v>0</v>
      </c>
      <c r="W166" s="78">
        <f t="shared" si="338"/>
        <v>20405</v>
      </c>
      <c r="X166" s="49">
        <f t="shared" si="338"/>
        <v>10266.8477910835</v>
      </c>
      <c r="Y166" s="78"/>
      <c r="Z166" s="105">
        <f t="shared" ref="Z166:AD166" si="339">SUM(Z167:Z171)</f>
        <v>0.732261116367077</v>
      </c>
      <c r="AA166" s="49">
        <f t="shared" si="339"/>
        <v>10178.3311537252</v>
      </c>
      <c r="AB166" s="49">
        <v>0</v>
      </c>
      <c r="AC166" s="49">
        <f t="shared" si="339"/>
        <v>0</v>
      </c>
      <c r="AD166" s="49">
        <f t="shared" si="339"/>
        <v>1800</v>
      </c>
      <c r="AE166" s="55">
        <f t="shared" ref="AE166:AI166" si="340">SUM(AE167:AE171)</f>
        <v>101610.44</v>
      </c>
      <c r="AF166" s="49">
        <f t="shared" si="340"/>
        <v>10584.3293466672</v>
      </c>
      <c r="AG166" s="49">
        <f t="shared" si="340"/>
        <v>23</v>
      </c>
      <c r="AH166" s="49">
        <f t="shared" si="340"/>
        <v>230.692076228686</v>
      </c>
      <c r="AI166" s="49">
        <f t="shared" si="340"/>
        <v>0</v>
      </c>
      <c r="AJ166" s="120"/>
      <c r="AK166" s="49">
        <f t="shared" ref="AK166:AO166" si="341">SUM(AK167:AK171)</f>
        <v>1163.41686262295</v>
      </c>
      <c r="AL166" s="55">
        <f t="shared" si="341"/>
        <v>450.44</v>
      </c>
      <c r="AM166" s="49">
        <f t="shared" si="341"/>
        <v>1254.12557522242</v>
      </c>
      <c r="AN166" s="121">
        <f t="shared" si="341"/>
        <v>35478</v>
      </c>
      <c r="AO166" s="49" t="e">
        <f t="shared" si="341"/>
        <v>#REF!</v>
      </c>
      <c r="AP166" s="86" t="e">
        <f t="shared" si="274"/>
        <v>#REF!</v>
      </c>
      <c r="AQ166" s="125" t="e">
        <f t="shared" si="275"/>
        <v>#REF!</v>
      </c>
      <c r="AR166" s="49">
        <v>495</v>
      </c>
      <c r="AS166" s="49">
        <v>0</v>
      </c>
      <c r="AT166" s="49">
        <v>0</v>
      </c>
      <c r="AU166" s="49">
        <f>SUM(AU167:AU171)</f>
        <v>35973</v>
      </c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</row>
    <row r="167" ht="17" customHeight="1" spans="1:47">
      <c r="A167" s="31">
        <v>110</v>
      </c>
      <c r="B167" s="51" t="s">
        <v>206</v>
      </c>
      <c r="C167" s="31" t="s">
        <v>78</v>
      </c>
      <c r="D167" s="31"/>
      <c r="E167" s="31"/>
      <c r="F167" s="31"/>
      <c r="G167" s="44">
        <v>3044</v>
      </c>
      <c r="H167" s="44"/>
      <c r="I167" s="44"/>
      <c r="J167" s="75">
        <v>1798</v>
      </c>
      <c r="K167" s="76">
        <f t="shared" si="331"/>
        <v>359.6</v>
      </c>
      <c r="L167" s="76">
        <f t="shared" si="332"/>
        <v>359.6</v>
      </c>
      <c r="M167" s="76">
        <f t="shared" si="333"/>
        <v>0</v>
      </c>
      <c r="N167" s="76">
        <f t="shared" si="334"/>
        <v>0</v>
      </c>
      <c r="O167" s="76">
        <f t="shared" si="335"/>
        <v>0</v>
      </c>
      <c r="P167" s="76">
        <f t="shared" si="336"/>
        <v>0</v>
      </c>
      <c r="Q167" s="44">
        <v>356</v>
      </c>
      <c r="R167" s="76">
        <v>177</v>
      </c>
      <c r="S167" s="76">
        <f t="shared" ref="S167:S171" si="342">T167+U167+V167+W167</f>
        <v>70.8</v>
      </c>
      <c r="T167" s="76">
        <f>R167*0.4</f>
        <v>70.8</v>
      </c>
      <c r="U167" s="76"/>
      <c r="V167" s="76"/>
      <c r="W167" s="76"/>
      <c r="X167" s="44">
        <f t="shared" ref="X167:X171" si="343">(K167/$K$10*0.2+Q167/$Q$10*0.05+S167/$S$10*0.05)*1254933</f>
        <v>50.4742200054532</v>
      </c>
      <c r="Y167" s="76">
        <v>20632</v>
      </c>
      <c r="Z167" s="103">
        <f t="shared" ref="Z167:Z171" si="344">IF(Y167&lt;12842,(12842-Y167)/(12842-$Y$176),0)</f>
        <v>0</v>
      </c>
      <c r="AA167" s="44">
        <f t="shared" ref="AA167:AA171" si="345">(Z167/$Z$10*0.2)*1254933</f>
        <v>0</v>
      </c>
      <c r="AB167" s="44"/>
      <c r="AC167" s="44"/>
      <c r="AD167" s="44"/>
      <c r="AE167" s="76"/>
      <c r="AF167" s="44"/>
      <c r="AG167" s="44">
        <f>VLOOKUP(B:B,[2]Sheet2!$B:$E,4,0)</f>
        <v>5</v>
      </c>
      <c r="AH167" s="44">
        <f t="shared" ref="AH167:AH171" si="346">AG167/$AG$10*10000</f>
        <v>50.1504513540622</v>
      </c>
      <c r="AI167" s="44"/>
      <c r="AJ167" s="115">
        <f>VLOOKUP(B:B,'[1]扶贫资金项目情况调度统计表 (2)'!$B:$I,8,0)</f>
        <v>0.894176932991187</v>
      </c>
      <c r="AK167" s="44">
        <f t="shared" ref="AK167:AK171" si="347">AJ167/$AJ$10*0.025*1254933</f>
        <v>274.333313697967</v>
      </c>
      <c r="AL167" s="76">
        <v>97.08</v>
      </c>
      <c r="AM167" s="44">
        <f t="shared" ref="AM167:AM171" si="348">(AL167/$AL$10)*0.025*1254933</f>
        <v>270.292404854347</v>
      </c>
      <c r="AN167" s="67">
        <f t="shared" ref="AN167:AN171" si="349">ROUND(AM167+AK167+AI167+AF167+AH167+AD167+AC167+AA167+X167,0)</f>
        <v>645</v>
      </c>
      <c r="AO167" s="44" t="e">
        <f>#REF!*1254933/1408452</f>
        <v>#REF!</v>
      </c>
      <c r="AP167" s="44" t="e">
        <f t="shared" si="274"/>
        <v>#REF!</v>
      </c>
      <c r="AQ167" s="126" t="e">
        <f t="shared" si="275"/>
        <v>#REF!</v>
      </c>
      <c r="AR167" s="44">
        <v>0</v>
      </c>
      <c r="AS167" s="44">
        <v>0</v>
      </c>
      <c r="AT167" s="44">
        <v>0</v>
      </c>
      <c r="AU167" s="127">
        <f t="shared" si="337"/>
        <v>645</v>
      </c>
    </row>
    <row r="168" ht="17" customHeight="1" spans="1:47">
      <c r="A168" s="31">
        <v>111</v>
      </c>
      <c r="B168" s="51" t="s">
        <v>208</v>
      </c>
      <c r="C168" s="31" t="s">
        <v>90</v>
      </c>
      <c r="D168" s="31">
        <v>2019</v>
      </c>
      <c r="E168" s="31" t="s">
        <v>91</v>
      </c>
      <c r="F168" s="31"/>
      <c r="G168" s="44">
        <v>11251</v>
      </c>
      <c r="H168" s="44"/>
      <c r="I168" s="44"/>
      <c r="J168" s="75">
        <v>57828</v>
      </c>
      <c r="K168" s="76">
        <f t="shared" si="331"/>
        <v>46262.4</v>
      </c>
      <c r="L168" s="76">
        <f t="shared" si="332"/>
        <v>0</v>
      </c>
      <c r="M168" s="76">
        <f t="shared" si="333"/>
        <v>0</v>
      </c>
      <c r="N168" s="76">
        <f t="shared" si="334"/>
        <v>0</v>
      </c>
      <c r="O168" s="76">
        <f t="shared" si="335"/>
        <v>46262.4</v>
      </c>
      <c r="P168" s="76">
        <f t="shared" si="336"/>
        <v>0</v>
      </c>
      <c r="Q168" s="44">
        <v>9793</v>
      </c>
      <c r="R168" s="76">
        <v>2624</v>
      </c>
      <c r="S168" s="76">
        <f t="shared" si="342"/>
        <v>1574.4</v>
      </c>
      <c r="T168" s="76"/>
      <c r="U168" s="76">
        <f>R168*0.6</f>
        <v>1574.4</v>
      </c>
      <c r="V168" s="76"/>
      <c r="W168" s="76"/>
      <c r="X168" s="44">
        <f t="shared" si="343"/>
        <v>3273.1947283731</v>
      </c>
      <c r="Y168" s="76">
        <v>13174</v>
      </c>
      <c r="Z168" s="103">
        <f t="shared" si="344"/>
        <v>0</v>
      </c>
      <c r="AA168" s="44">
        <f t="shared" si="345"/>
        <v>0</v>
      </c>
      <c r="AB168" s="44"/>
      <c r="AC168" s="44"/>
      <c r="AD168" s="44"/>
      <c r="AE168" s="76">
        <f>K168*0.6</f>
        <v>27757.44</v>
      </c>
      <c r="AF168" s="44">
        <f>AE168/$AE$10*372626.55</f>
        <v>2891.37500812273</v>
      </c>
      <c r="AG168" s="44">
        <f>VLOOKUP(B:B,[2]Sheet2!$B:$E,4,0)</f>
        <v>3</v>
      </c>
      <c r="AH168" s="44">
        <f t="shared" si="346"/>
        <v>30.0902708124373</v>
      </c>
      <c r="AI168" s="44"/>
      <c r="AJ168" s="115">
        <f>VLOOKUP(B:B,'[1]扶贫资金项目情况调度统计表 (2)'!$B:$I,8,0)</f>
        <v>0.686267108770486</v>
      </c>
      <c r="AK168" s="44">
        <f t="shared" si="347"/>
        <v>210.546619002065</v>
      </c>
      <c r="AL168" s="76">
        <v>89.25</v>
      </c>
      <c r="AM168" s="44">
        <f t="shared" si="348"/>
        <v>248.491935859606</v>
      </c>
      <c r="AN168" s="67">
        <f t="shared" si="349"/>
        <v>6654</v>
      </c>
      <c r="AO168" s="44" t="e">
        <f>#REF!*1254933/1408452</f>
        <v>#REF!</v>
      </c>
      <c r="AP168" s="44" t="e">
        <f t="shared" si="274"/>
        <v>#REF!</v>
      </c>
      <c r="AQ168" s="126" t="e">
        <f t="shared" si="275"/>
        <v>#REF!</v>
      </c>
      <c r="AR168" s="44">
        <v>0</v>
      </c>
      <c r="AS168" s="44">
        <v>0</v>
      </c>
      <c r="AT168" s="44">
        <v>0</v>
      </c>
      <c r="AU168" s="127">
        <f t="shared" si="337"/>
        <v>6654</v>
      </c>
    </row>
    <row r="169" ht="17" customHeight="1" spans="1:47">
      <c r="A169" s="31">
        <v>112</v>
      </c>
      <c r="B169" s="51" t="s">
        <v>209</v>
      </c>
      <c r="C169" s="31" t="s">
        <v>78</v>
      </c>
      <c r="D169" s="31"/>
      <c r="E169" s="31"/>
      <c r="F169" s="31"/>
      <c r="G169" s="44">
        <v>2181</v>
      </c>
      <c r="H169" s="44"/>
      <c r="I169" s="44"/>
      <c r="J169" s="75">
        <v>15440</v>
      </c>
      <c r="K169" s="76">
        <f t="shared" si="331"/>
        <v>3088</v>
      </c>
      <c r="L169" s="76">
        <f t="shared" si="332"/>
        <v>3088</v>
      </c>
      <c r="M169" s="76">
        <f t="shared" si="333"/>
        <v>0</v>
      </c>
      <c r="N169" s="76">
        <f t="shared" si="334"/>
        <v>0</v>
      </c>
      <c r="O169" s="76">
        <f t="shared" si="335"/>
        <v>0</v>
      </c>
      <c r="P169" s="76">
        <f t="shared" si="336"/>
        <v>0</v>
      </c>
      <c r="Q169" s="44">
        <v>3589</v>
      </c>
      <c r="R169" s="76">
        <v>744</v>
      </c>
      <c r="S169" s="76">
        <f t="shared" si="342"/>
        <v>297.6</v>
      </c>
      <c r="T169" s="76">
        <f>R169*0.4</f>
        <v>297.6</v>
      </c>
      <c r="U169" s="76"/>
      <c r="V169" s="76"/>
      <c r="W169" s="76"/>
      <c r="X169" s="44">
        <f t="shared" si="343"/>
        <v>452.582994935769</v>
      </c>
      <c r="Y169" s="76">
        <v>14345</v>
      </c>
      <c r="Z169" s="103">
        <f t="shared" si="344"/>
        <v>0</v>
      </c>
      <c r="AA169" s="44">
        <f t="shared" si="345"/>
        <v>0</v>
      </c>
      <c r="AB169" s="44"/>
      <c r="AC169" s="44"/>
      <c r="AD169" s="44"/>
      <c r="AE169" s="76"/>
      <c r="AF169" s="44"/>
      <c r="AG169" s="44">
        <f>VLOOKUP(B:B,[2]Sheet2!$B:$E,4,0)</f>
        <v>5</v>
      </c>
      <c r="AH169" s="44">
        <f t="shared" si="346"/>
        <v>50.1504513540622</v>
      </c>
      <c r="AI169" s="44"/>
      <c r="AJ169" s="115">
        <f>VLOOKUP(B:B,'[1]扶贫资金项目情况调度统计表 (2)'!$B:$I,8,0)</f>
        <v>0.87334326372516</v>
      </c>
      <c r="AK169" s="44">
        <f t="shared" si="347"/>
        <v>267.941547912735</v>
      </c>
      <c r="AL169" s="76">
        <v>85.5</v>
      </c>
      <c r="AM169" s="44">
        <f t="shared" si="348"/>
        <v>238.051098218446</v>
      </c>
      <c r="AN169" s="67">
        <f t="shared" si="349"/>
        <v>1009</v>
      </c>
      <c r="AO169" s="44" t="e">
        <f>#REF!*1254933/1408452</f>
        <v>#REF!</v>
      </c>
      <c r="AP169" s="44" t="e">
        <f t="shared" si="274"/>
        <v>#REF!</v>
      </c>
      <c r="AQ169" s="126" t="e">
        <f t="shared" si="275"/>
        <v>#REF!</v>
      </c>
      <c r="AR169" s="44">
        <v>0</v>
      </c>
      <c r="AS169" s="44">
        <v>0</v>
      </c>
      <c r="AT169" s="44">
        <v>0</v>
      </c>
      <c r="AU169" s="127">
        <f t="shared" si="337"/>
        <v>1009</v>
      </c>
    </row>
    <row r="170" ht="17" customHeight="1" spans="1:47">
      <c r="A170" s="31">
        <v>113</v>
      </c>
      <c r="B170" s="51" t="s">
        <v>210</v>
      </c>
      <c r="C170" s="31" t="s">
        <v>93</v>
      </c>
      <c r="D170" s="31">
        <v>2020</v>
      </c>
      <c r="E170" s="31" t="s">
        <v>94</v>
      </c>
      <c r="F170" s="31"/>
      <c r="G170" s="44">
        <v>23252</v>
      </c>
      <c r="H170" s="44"/>
      <c r="I170" s="44"/>
      <c r="J170" s="75">
        <v>73853</v>
      </c>
      <c r="K170" s="76">
        <f t="shared" si="331"/>
        <v>73853</v>
      </c>
      <c r="L170" s="76">
        <f t="shared" si="332"/>
        <v>0</v>
      </c>
      <c r="M170" s="76">
        <f t="shared" si="333"/>
        <v>0</v>
      </c>
      <c r="N170" s="76">
        <f t="shared" si="334"/>
        <v>0</v>
      </c>
      <c r="O170" s="76">
        <f t="shared" si="335"/>
        <v>0</v>
      </c>
      <c r="P170" s="76">
        <f t="shared" si="336"/>
        <v>73853</v>
      </c>
      <c r="Q170" s="44">
        <v>9328</v>
      </c>
      <c r="R170" s="76">
        <v>20405</v>
      </c>
      <c r="S170" s="76">
        <f t="shared" si="342"/>
        <v>20405</v>
      </c>
      <c r="T170" s="76"/>
      <c r="U170" s="76"/>
      <c r="V170" s="76"/>
      <c r="W170" s="76">
        <f>R170*1</f>
        <v>20405</v>
      </c>
      <c r="X170" s="44">
        <f t="shared" si="343"/>
        <v>5956.49612761991</v>
      </c>
      <c r="Y170" s="76">
        <v>8972</v>
      </c>
      <c r="Z170" s="103">
        <f t="shared" si="344"/>
        <v>0.732261116367077</v>
      </c>
      <c r="AA170" s="44">
        <f t="shared" si="345"/>
        <v>10178.3311537252</v>
      </c>
      <c r="AB170" s="44"/>
      <c r="AC170" s="44"/>
      <c r="AD170" s="44">
        <v>1800</v>
      </c>
      <c r="AE170" s="76">
        <f>K170</f>
        <v>73853</v>
      </c>
      <c r="AF170" s="44">
        <f>AE170/$AE$10*372626.55</f>
        <v>7692.95433854447</v>
      </c>
      <c r="AG170" s="44">
        <f>VLOOKUP(B:B,[2]Sheet2!$B:$E,4,0)</f>
        <v>4</v>
      </c>
      <c r="AH170" s="44">
        <f t="shared" si="346"/>
        <v>40.1203610832497</v>
      </c>
      <c r="AI170" s="44"/>
      <c r="AJ170" s="115">
        <f>VLOOKUP(B:B,'[1]扶贫资金项目情况调度统计表 (2)'!$B:$I,8,0)</f>
        <v>0.5680002019658</v>
      </c>
      <c r="AK170" s="44">
        <f t="shared" si="347"/>
        <v>174.26235439237</v>
      </c>
      <c r="AL170" s="76">
        <v>90.17</v>
      </c>
      <c r="AM170" s="44">
        <f t="shared" si="348"/>
        <v>251.053421360903</v>
      </c>
      <c r="AN170" s="67">
        <f t="shared" si="349"/>
        <v>26093</v>
      </c>
      <c r="AO170" s="44" t="e">
        <f>#REF!*1254933/1408452</f>
        <v>#REF!</v>
      </c>
      <c r="AP170" s="44" t="e">
        <f t="shared" si="274"/>
        <v>#REF!</v>
      </c>
      <c r="AQ170" s="126" t="e">
        <f t="shared" si="275"/>
        <v>#REF!</v>
      </c>
      <c r="AR170" s="44">
        <v>495</v>
      </c>
      <c r="AS170" s="44">
        <v>0</v>
      </c>
      <c r="AT170" s="44">
        <v>0</v>
      </c>
      <c r="AU170" s="127">
        <f t="shared" si="337"/>
        <v>26588</v>
      </c>
    </row>
    <row r="171" ht="17" customHeight="1" spans="1:47">
      <c r="A171" s="31">
        <v>114</v>
      </c>
      <c r="B171" s="51" t="s">
        <v>207</v>
      </c>
      <c r="C171" s="31" t="s">
        <v>90</v>
      </c>
      <c r="D171" s="31">
        <v>2017</v>
      </c>
      <c r="E171" s="31"/>
      <c r="F171" s="31"/>
      <c r="G171" s="44">
        <v>4587</v>
      </c>
      <c r="H171" s="44"/>
      <c r="I171" s="44"/>
      <c r="J171" s="75">
        <v>14593</v>
      </c>
      <c r="K171" s="76">
        <f t="shared" si="331"/>
        <v>5837.2</v>
      </c>
      <c r="L171" s="76">
        <f t="shared" si="332"/>
        <v>0</v>
      </c>
      <c r="M171" s="76">
        <f t="shared" si="333"/>
        <v>5837.2</v>
      </c>
      <c r="N171" s="76">
        <f t="shared" si="334"/>
        <v>0</v>
      </c>
      <c r="O171" s="76">
        <f t="shared" si="335"/>
        <v>0</v>
      </c>
      <c r="P171" s="76">
        <f t="shared" si="336"/>
        <v>0</v>
      </c>
      <c r="Q171" s="44">
        <v>2476</v>
      </c>
      <c r="R171" s="76">
        <v>1015</v>
      </c>
      <c r="S171" s="76">
        <f t="shared" si="342"/>
        <v>609</v>
      </c>
      <c r="T171" s="76"/>
      <c r="U171" s="76">
        <f>R171*0.6</f>
        <v>609</v>
      </c>
      <c r="V171" s="76"/>
      <c r="W171" s="76"/>
      <c r="X171" s="44">
        <f t="shared" si="343"/>
        <v>534.099720149261</v>
      </c>
      <c r="Y171" s="76">
        <v>13413</v>
      </c>
      <c r="Z171" s="103">
        <f t="shared" si="344"/>
        <v>0</v>
      </c>
      <c r="AA171" s="44">
        <f t="shared" si="345"/>
        <v>0</v>
      </c>
      <c r="AB171" s="44"/>
      <c r="AC171" s="44"/>
      <c r="AD171" s="44"/>
      <c r="AE171" s="76"/>
      <c r="AF171" s="44"/>
      <c r="AG171" s="44">
        <f>VLOOKUP(B:B,[2]Sheet2!$B:$E,4,0)</f>
        <v>6</v>
      </c>
      <c r="AH171" s="44">
        <f t="shared" si="346"/>
        <v>60.1805416248746</v>
      </c>
      <c r="AI171" s="44"/>
      <c r="AJ171" s="115">
        <f>VLOOKUP(B:B,'[1]扶贫资金项目情况调度统计表 (2)'!$B:$I,8,0)</f>
        <v>0.770316732412886</v>
      </c>
      <c r="AK171" s="44">
        <f t="shared" si="347"/>
        <v>236.333027617813</v>
      </c>
      <c r="AL171" s="76">
        <v>88.44</v>
      </c>
      <c r="AM171" s="44">
        <f t="shared" si="348"/>
        <v>246.236714929115</v>
      </c>
      <c r="AN171" s="67">
        <f t="shared" si="349"/>
        <v>1077</v>
      </c>
      <c r="AO171" s="44" t="e">
        <f>#REF!*1254933/1408452</f>
        <v>#REF!</v>
      </c>
      <c r="AP171" s="44" t="e">
        <f t="shared" si="274"/>
        <v>#REF!</v>
      </c>
      <c r="AQ171" s="126" t="e">
        <f t="shared" si="275"/>
        <v>#REF!</v>
      </c>
      <c r="AR171" s="44">
        <v>0</v>
      </c>
      <c r="AS171" s="44">
        <v>0</v>
      </c>
      <c r="AT171" s="44">
        <v>0</v>
      </c>
      <c r="AU171" s="127">
        <f t="shared" si="337"/>
        <v>1077</v>
      </c>
    </row>
    <row r="172" s="6" customFormat="1" ht="17" customHeight="1" spans="1:85">
      <c r="A172" s="39"/>
      <c r="B172" s="40" t="s">
        <v>211</v>
      </c>
      <c r="C172" s="41">
        <v>1</v>
      </c>
      <c r="D172" s="41"/>
      <c r="E172" s="41"/>
      <c r="F172" s="41"/>
      <c r="G172" s="43">
        <v>170325</v>
      </c>
      <c r="H172" s="43">
        <f>H173+H174</f>
        <v>0</v>
      </c>
      <c r="I172" s="43">
        <f>I173+I174</f>
        <v>0</v>
      </c>
      <c r="J172" s="54">
        <f t="shared" ref="J172:X172" si="350">J173+J174</f>
        <v>229768</v>
      </c>
      <c r="K172" s="77">
        <f t="shared" si="350"/>
        <v>226302.2</v>
      </c>
      <c r="L172" s="77">
        <f t="shared" si="350"/>
        <v>0</v>
      </c>
      <c r="M172" s="77">
        <f t="shared" si="350"/>
        <v>0</v>
      </c>
      <c r="N172" s="77">
        <f t="shared" si="350"/>
        <v>0</v>
      </c>
      <c r="O172" s="77">
        <f t="shared" si="350"/>
        <v>13863.2</v>
      </c>
      <c r="P172" s="77">
        <f t="shared" si="350"/>
        <v>212439</v>
      </c>
      <c r="Q172" s="43">
        <v>35711</v>
      </c>
      <c r="R172" s="77">
        <f t="shared" si="350"/>
        <v>95859</v>
      </c>
      <c r="S172" s="77">
        <f t="shared" si="350"/>
        <v>95035.2</v>
      </c>
      <c r="T172" s="77">
        <f t="shared" si="350"/>
        <v>0</v>
      </c>
      <c r="U172" s="77">
        <f t="shared" si="350"/>
        <v>0</v>
      </c>
      <c r="V172" s="77">
        <f t="shared" si="350"/>
        <v>3295.2</v>
      </c>
      <c r="W172" s="77">
        <f t="shared" si="350"/>
        <v>91740</v>
      </c>
      <c r="X172" s="43">
        <f t="shared" si="350"/>
        <v>20980.674502954</v>
      </c>
      <c r="Y172" s="77"/>
      <c r="Z172" s="104">
        <f t="shared" ref="Z172:AD172" si="351">Z173+Z174</f>
        <v>3.82913907284768</v>
      </c>
      <c r="AA172" s="43">
        <f t="shared" si="351"/>
        <v>53224.5187488211</v>
      </c>
      <c r="AB172" s="43">
        <v>79</v>
      </c>
      <c r="AC172" s="43">
        <f t="shared" si="351"/>
        <v>26507.9430481283</v>
      </c>
      <c r="AD172" s="43">
        <f t="shared" si="351"/>
        <v>7200</v>
      </c>
      <c r="AE172" s="54">
        <f t="shared" ref="AE172:AI172" si="352">AE173+AE174</f>
        <v>226302.2</v>
      </c>
      <c r="AF172" s="43">
        <f t="shared" si="352"/>
        <v>23572.942078347</v>
      </c>
      <c r="AG172" s="43">
        <f t="shared" si="352"/>
        <v>82</v>
      </c>
      <c r="AH172" s="43">
        <f t="shared" si="352"/>
        <v>822.46740220662</v>
      </c>
      <c r="AI172" s="43">
        <f t="shared" si="352"/>
        <v>0</v>
      </c>
      <c r="AJ172" s="118"/>
      <c r="AK172" s="43">
        <f t="shared" ref="AK172:AO172" si="353">AK173+AK174</f>
        <v>1113.09326351117</v>
      </c>
      <c r="AL172" s="54">
        <f t="shared" si="353"/>
        <v>358.79</v>
      </c>
      <c r="AM172" s="43">
        <f t="shared" si="353"/>
        <v>998.951503272469</v>
      </c>
      <c r="AN172" s="119">
        <f t="shared" si="353"/>
        <v>134421</v>
      </c>
      <c r="AO172" s="43" t="e">
        <f t="shared" si="353"/>
        <v>#REF!</v>
      </c>
      <c r="AP172" s="86" t="e">
        <f t="shared" si="274"/>
        <v>#REF!</v>
      </c>
      <c r="AQ172" s="125" t="e">
        <f t="shared" si="275"/>
        <v>#REF!</v>
      </c>
      <c r="AR172" s="43">
        <v>2582</v>
      </c>
      <c r="AS172" s="43">
        <v>0</v>
      </c>
      <c r="AT172" s="43">
        <v>82</v>
      </c>
      <c r="AU172" s="43">
        <f>AU173+AU174</f>
        <v>137085</v>
      </c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</row>
    <row r="173" ht="17" customHeight="1" spans="1:47">
      <c r="A173" s="29"/>
      <c r="B173" s="30" t="s">
        <v>212</v>
      </c>
      <c r="C173" s="31">
        <v>2</v>
      </c>
      <c r="D173" s="31"/>
      <c r="E173" s="31"/>
      <c r="F173" s="31"/>
      <c r="G173" s="44">
        <v>14380</v>
      </c>
      <c r="H173" s="44"/>
      <c r="I173" s="44"/>
      <c r="J173" s="75"/>
      <c r="K173" s="76">
        <f t="shared" ref="K173:K178" si="354">SUM(L173:P173)</f>
        <v>0</v>
      </c>
      <c r="L173" s="76">
        <f t="shared" ref="L173:L178" si="355">IF(D173="",J173*0.2,0)</f>
        <v>0</v>
      </c>
      <c r="M173" s="76">
        <f t="shared" ref="M173:M178" si="356">IF(D173=2017,J173*0.4,0)</f>
        <v>0</v>
      </c>
      <c r="N173" s="76">
        <f t="shared" ref="N173:N178" si="357">IF(D173=2018,J173*0.6,0)</f>
        <v>0</v>
      </c>
      <c r="O173" s="76">
        <f t="shared" ref="O173:O178" si="358">IF(D173=2019,J173*0.8,0)</f>
        <v>0</v>
      </c>
      <c r="P173" s="76">
        <f t="shared" ref="P173:P178" si="359">IF(D173=2020,J173*1,0)</f>
        <v>0</v>
      </c>
      <c r="Q173" s="44"/>
      <c r="R173" s="76"/>
      <c r="S173" s="76">
        <f>O173*0.4+P173*0.6+Q173*0.8+R173*1</f>
        <v>0</v>
      </c>
      <c r="T173" s="76">
        <f>R173-U173-V173-W173</f>
        <v>0</v>
      </c>
      <c r="U173" s="76"/>
      <c r="V173" s="76"/>
      <c r="W173" s="76"/>
      <c r="X173" s="44"/>
      <c r="Y173" s="76"/>
      <c r="Z173" s="103"/>
      <c r="AA173" s="44"/>
      <c r="AB173" s="44"/>
      <c r="AC173" s="44"/>
      <c r="AD173" s="44"/>
      <c r="AE173" s="76"/>
      <c r="AF173" s="44"/>
      <c r="AG173" s="44"/>
      <c r="AH173" s="44"/>
      <c r="AI173" s="44"/>
      <c r="AJ173" s="115"/>
      <c r="AK173" s="44"/>
      <c r="AL173" s="76"/>
      <c r="AM173" s="44"/>
      <c r="AN173" s="44"/>
      <c r="AO173" s="44"/>
      <c r="AP173" s="86">
        <f t="shared" si="274"/>
        <v>0</v>
      </c>
      <c r="AQ173" s="125"/>
      <c r="AR173" s="44"/>
      <c r="AS173" s="44"/>
      <c r="AT173" s="44"/>
      <c r="AU173" s="127">
        <f t="shared" ref="AU173:AU178" si="360">AT173+AS173+AR173+AN173</f>
        <v>0</v>
      </c>
    </row>
    <row r="174" s="7" customFormat="1" ht="17" customHeight="1" spans="1:85">
      <c r="A174" s="45"/>
      <c r="B174" s="46" t="s">
        <v>76</v>
      </c>
      <c r="C174" s="47">
        <v>3</v>
      </c>
      <c r="D174" s="47"/>
      <c r="E174" s="47"/>
      <c r="F174" s="47"/>
      <c r="G174" s="49">
        <v>155945</v>
      </c>
      <c r="H174" s="49">
        <f>SUM(H175:H178)</f>
        <v>0</v>
      </c>
      <c r="I174" s="49">
        <f>SUM(I175:I178)</f>
        <v>0</v>
      </c>
      <c r="J174" s="55">
        <f t="shared" ref="J174:X174" si="361">SUM(J175:J178)</f>
        <v>229768</v>
      </c>
      <c r="K174" s="78">
        <f t="shared" si="361"/>
        <v>226302.2</v>
      </c>
      <c r="L174" s="78">
        <f t="shared" si="361"/>
        <v>0</v>
      </c>
      <c r="M174" s="78">
        <f t="shared" si="361"/>
        <v>0</v>
      </c>
      <c r="N174" s="78">
        <f t="shared" si="361"/>
        <v>0</v>
      </c>
      <c r="O174" s="78">
        <f t="shared" si="361"/>
        <v>13863.2</v>
      </c>
      <c r="P174" s="78">
        <f t="shared" si="361"/>
        <v>212439</v>
      </c>
      <c r="Q174" s="49">
        <v>35711</v>
      </c>
      <c r="R174" s="78">
        <f t="shared" si="361"/>
        <v>95859</v>
      </c>
      <c r="S174" s="78">
        <f t="shared" si="361"/>
        <v>95035.2</v>
      </c>
      <c r="T174" s="78">
        <f t="shared" si="361"/>
        <v>0</v>
      </c>
      <c r="U174" s="78">
        <f t="shared" si="361"/>
        <v>0</v>
      </c>
      <c r="V174" s="78">
        <f t="shared" si="361"/>
        <v>3295.2</v>
      </c>
      <c r="W174" s="78">
        <f t="shared" si="361"/>
        <v>91740</v>
      </c>
      <c r="X174" s="49">
        <f t="shared" si="361"/>
        <v>20980.674502954</v>
      </c>
      <c r="Y174" s="78"/>
      <c r="Z174" s="105">
        <f t="shared" ref="Z174:AD174" si="362">SUM(Z175:Z178)</f>
        <v>3.82913907284768</v>
      </c>
      <c r="AA174" s="49">
        <f t="shared" si="362"/>
        <v>53224.5187488211</v>
      </c>
      <c r="AB174" s="49">
        <v>79</v>
      </c>
      <c r="AC174" s="49">
        <f t="shared" si="362"/>
        <v>26507.9430481283</v>
      </c>
      <c r="AD174" s="49">
        <f t="shared" si="362"/>
        <v>7200</v>
      </c>
      <c r="AE174" s="55">
        <f t="shared" ref="AE174:AI174" si="363">SUM(AE175:AE178)</f>
        <v>226302.2</v>
      </c>
      <c r="AF174" s="49">
        <f t="shared" si="363"/>
        <v>23572.942078347</v>
      </c>
      <c r="AG174" s="49">
        <f t="shared" si="363"/>
        <v>82</v>
      </c>
      <c r="AH174" s="49">
        <f t="shared" si="363"/>
        <v>822.46740220662</v>
      </c>
      <c r="AI174" s="49">
        <f t="shared" si="363"/>
        <v>0</v>
      </c>
      <c r="AJ174" s="120"/>
      <c r="AK174" s="49">
        <f t="shared" ref="AK174:AO174" si="364">SUM(AK175:AK178)</f>
        <v>1113.09326351117</v>
      </c>
      <c r="AL174" s="135">
        <f t="shared" si="364"/>
        <v>358.79</v>
      </c>
      <c r="AM174" s="49">
        <f t="shared" si="364"/>
        <v>998.951503272469</v>
      </c>
      <c r="AN174" s="121">
        <f t="shared" si="364"/>
        <v>134421</v>
      </c>
      <c r="AO174" s="49" t="e">
        <f t="shared" si="364"/>
        <v>#REF!</v>
      </c>
      <c r="AP174" s="86" t="e">
        <f t="shared" si="274"/>
        <v>#REF!</v>
      </c>
      <c r="AQ174" s="125" t="e">
        <f t="shared" si="275"/>
        <v>#REF!</v>
      </c>
      <c r="AR174" s="49">
        <v>2582</v>
      </c>
      <c r="AS174" s="49">
        <v>0</v>
      </c>
      <c r="AT174" s="49">
        <v>82</v>
      </c>
      <c r="AU174" s="49">
        <f>SUM(AU175:AU178)</f>
        <v>137085</v>
      </c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</row>
    <row r="175" ht="17" customHeight="1" spans="1:47">
      <c r="A175" s="31">
        <v>115</v>
      </c>
      <c r="B175" s="51" t="s">
        <v>216</v>
      </c>
      <c r="C175" s="31" t="s">
        <v>93</v>
      </c>
      <c r="D175" s="31">
        <v>2020</v>
      </c>
      <c r="E175" s="31" t="s">
        <v>94</v>
      </c>
      <c r="F175" s="31"/>
      <c r="G175" s="44">
        <v>45592</v>
      </c>
      <c r="H175" s="44"/>
      <c r="I175" s="44"/>
      <c r="J175" s="75">
        <v>88228</v>
      </c>
      <c r="K175" s="76">
        <f t="shared" si="354"/>
        <v>88228</v>
      </c>
      <c r="L175" s="76">
        <f t="shared" si="355"/>
        <v>0</v>
      </c>
      <c r="M175" s="76">
        <f t="shared" si="356"/>
        <v>0</v>
      </c>
      <c r="N175" s="76">
        <f t="shared" si="357"/>
        <v>0</v>
      </c>
      <c r="O175" s="76">
        <f t="shared" si="358"/>
        <v>0</v>
      </c>
      <c r="P175" s="76">
        <f t="shared" si="359"/>
        <v>88228</v>
      </c>
      <c r="Q175" s="44">
        <v>13706</v>
      </c>
      <c r="R175" s="76">
        <v>39927</v>
      </c>
      <c r="S175" s="76">
        <f t="shared" ref="S175:S178" si="365">T175+U175+V175+W175</f>
        <v>39927</v>
      </c>
      <c r="T175" s="76"/>
      <c r="U175" s="76"/>
      <c r="V175" s="76"/>
      <c r="W175" s="76">
        <f t="shared" ref="W175:W178" si="366">R175*1</f>
        <v>39927</v>
      </c>
      <c r="X175" s="44">
        <f t="shared" ref="X175:X178" si="367">(K175/$K$10*0.2+Q175/$Q$10*0.05+S175/$S$10*0.05)*1254933</f>
        <v>8357.25608670072</v>
      </c>
      <c r="Y175" s="76">
        <v>7920</v>
      </c>
      <c r="Z175" s="103">
        <f t="shared" ref="Z175:Z178" si="368">IF(Y175&lt;12842,(12842-Y175)/(12842-$Y$176),0)</f>
        <v>0.931315042573321</v>
      </c>
      <c r="AA175" s="44">
        <f t="shared" ref="AA175:AA178" si="369">(Z175/$Z$10*0.2)*1254933</f>
        <v>12945.1539893115</v>
      </c>
      <c r="AB175" s="44"/>
      <c r="AC175" s="44"/>
      <c r="AD175" s="44">
        <v>1800</v>
      </c>
      <c r="AE175" s="76">
        <f t="shared" ref="AE175:AE178" si="370">K175</f>
        <v>88228</v>
      </c>
      <c r="AF175" s="44">
        <f t="shared" ref="AF175:AF178" si="371">AE175/$AE$10*372626.55</f>
        <v>9190.33722910514</v>
      </c>
      <c r="AG175" s="44">
        <f>VLOOKUP(B:B,[2]Sheet2!$B:$E,4,0)</f>
        <v>3</v>
      </c>
      <c r="AH175" s="44">
        <f t="shared" ref="AH175:AH178" si="372">AG175/$AG$10*10000</f>
        <v>30.0902708124373</v>
      </c>
      <c r="AI175" s="44"/>
      <c r="AJ175" s="115">
        <f>VLOOKUP(B:B,'[1]扶贫资金项目情况调度统计表 (2)'!$B:$I,8,0)</f>
        <v>0.925004023798083</v>
      </c>
      <c r="AK175" s="44">
        <f t="shared" ref="AK175:AK178" si="373">AJ175/$AJ$10*0.025*1254933</f>
        <v>283.791059319333</v>
      </c>
      <c r="AL175" s="76">
        <v>92.05</v>
      </c>
      <c r="AM175" s="44">
        <f t="shared" ref="AM175:AM178" si="374">(AL175/$AL$10)*0.025*1254933</f>
        <v>256.287761298338</v>
      </c>
      <c r="AN175" s="67">
        <f t="shared" ref="AN175:AN178" si="375">ROUND(AM175+AK175+AI175+AF175+AH175+AD175+AC175+AA175+X175,0)</f>
        <v>32863</v>
      </c>
      <c r="AO175" s="44" t="e">
        <f>#REF!*1254933/1408452</f>
        <v>#REF!</v>
      </c>
      <c r="AP175" s="44" t="e">
        <f t="shared" si="274"/>
        <v>#REF!</v>
      </c>
      <c r="AQ175" s="126" t="e">
        <f t="shared" si="275"/>
        <v>#REF!</v>
      </c>
      <c r="AR175" s="44">
        <v>742</v>
      </c>
      <c r="AS175" s="44">
        <v>0</v>
      </c>
      <c r="AT175" s="44">
        <v>82</v>
      </c>
      <c r="AU175" s="127">
        <f t="shared" si="360"/>
        <v>33687</v>
      </c>
    </row>
    <row r="176" ht="17" customHeight="1" spans="1:47">
      <c r="A176" s="31">
        <v>116</v>
      </c>
      <c r="B176" s="51" t="s">
        <v>214</v>
      </c>
      <c r="C176" s="31" t="s">
        <v>93</v>
      </c>
      <c r="D176" s="31">
        <v>2020</v>
      </c>
      <c r="E176" s="31" t="s">
        <v>94</v>
      </c>
      <c r="F176" s="31" t="s">
        <v>146</v>
      </c>
      <c r="G176" s="44">
        <v>44083</v>
      </c>
      <c r="H176" s="44"/>
      <c r="I176" s="44"/>
      <c r="J176" s="75">
        <v>61052</v>
      </c>
      <c r="K176" s="76">
        <f t="shared" si="354"/>
        <v>61052</v>
      </c>
      <c r="L176" s="76">
        <f t="shared" si="355"/>
        <v>0</v>
      </c>
      <c r="M176" s="76">
        <f t="shared" si="356"/>
        <v>0</v>
      </c>
      <c r="N176" s="76">
        <f t="shared" si="357"/>
        <v>0</v>
      </c>
      <c r="O176" s="76">
        <f t="shared" si="358"/>
        <v>0</v>
      </c>
      <c r="P176" s="76">
        <f t="shared" si="359"/>
        <v>61052</v>
      </c>
      <c r="Q176" s="44">
        <v>9878</v>
      </c>
      <c r="R176" s="76">
        <v>22500</v>
      </c>
      <c r="S176" s="76">
        <f t="shared" si="365"/>
        <v>22500</v>
      </c>
      <c r="T176" s="76"/>
      <c r="U176" s="76"/>
      <c r="V176" s="76"/>
      <c r="W176" s="76">
        <f t="shared" si="366"/>
        <v>22500</v>
      </c>
      <c r="X176" s="44">
        <f t="shared" si="367"/>
        <v>5466.95642934844</v>
      </c>
      <c r="Y176" s="76">
        <v>7557</v>
      </c>
      <c r="Z176" s="103">
        <f t="shared" si="368"/>
        <v>1</v>
      </c>
      <c r="AA176" s="44">
        <f t="shared" si="369"/>
        <v>13899.8656711726</v>
      </c>
      <c r="AB176" s="44">
        <v>29</v>
      </c>
      <c r="AC176" s="44">
        <f t="shared" ref="AC176:AC178" si="376">AB176/$AB$10*0.1*1254933</f>
        <v>9730.76390374332</v>
      </c>
      <c r="AD176" s="44">
        <v>1800</v>
      </c>
      <c r="AE176" s="76">
        <f t="shared" si="370"/>
        <v>61052</v>
      </c>
      <c r="AF176" s="44">
        <f t="shared" si="371"/>
        <v>6359.52836413981</v>
      </c>
      <c r="AG176" s="44">
        <f>VLOOKUP(B:B,[2]Sheet2!$B:$E,4,0)</f>
        <v>29</v>
      </c>
      <c r="AH176" s="44">
        <f t="shared" si="372"/>
        <v>290.872617853561</v>
      </c>
      <c r="AI176" s="44"/>
      <c r="AJ176" s="115">
        <f>VLOOKUP(B:B,'[1]扶贫资金项目情况调度统计表 (2)'!$B:$I,8,0)</f>
        <v>0.919664310787937</v>
      </c>
      <c r="AK176" s="44">
        <f t="shared" si="373"/>
        <v>282.152836379082</v>
      </c>
      <c r="AL176" s="76">
        <v>87.56</v>
      </c>
      <c r="AM176" s="44">
        <f t="shared" si="374"/>
        <v>243.786598362656</v>
      </c>
      <c r="AN176" s="67">
        <f t="shared" si="375"/>
        <v>38074</v>
      </c>
      <c r="AO176" s="44" t="e">
        <f>#REF!*1254933/1408452</f>
        <v>#REF!</v>
      </c>
      <c r="AP176" s="44" t="e">
        <f t="shared" si="274"/>
        <v>#REF!</v>
      </c>
      <c r="AQ176" s="126" t="e">
        <f t="shared" si="275"/>
        <v>#REF!</v>
      </c>
      <c r="AR176" s="44">
        <v>500</v>
      </c>
      <c r="AS176" s="44">
        <v>0</v>
      </c>
      <c r="AT176" s="44">
        <v>0</v>
      </c>
      <c r="AU176" s="127">
        <f t="shared" si="360"/>
        <v>38574</v>
      </c>
    </row>
    <row r="177" ht="17" customHeight="1" spans="1:47">
      <c r="A177" s="31">
        <v>117</v>
      </c>
      <c r="B177" s="51" t="s">
        <v>215</v>
      </c>
      <c r="C177" s="31" t="s">
        <v>93</v>
      </c>
      <c r="D177" s="31">
        <v>2019</v>
      </c>
      <c r="E177" s="31" t="s">
        <v>94</v>
      </c>
      <c r="F177" s="31" t="s">
        <v>146</v>
      </c>
      <c r="G177" s="44">
        <v>25916</v>
      </c>
      <c r="H177" s="44"/>
      <c r="I177" s="44"/>
      <c r="J177" s="75">
        <v>17329</v>
      </c>
      <c r="K177" s="76">
        <f t="shared" si="354"/>
        <v>13863.2</v>
      </c>
      <c r="L177" s="76">
        <f t="shared" si="355"/>
        <v>0</v>
      </c>
      <c r="M177" s="76">
        <f t="shared" si="356"/>
        <v>0</v>
      </c>
      <c r="N177" s="76">
        <f t="shared" si="357"/>
        <v>0</v>
      </c>
      <c r="O177" s="76">
        <f t="shared" si="358"/>
        <v>13863.2</v>
      </c>
      <c r="P177" s="76">
        <f t="shared" si="359"/>
        <v>0</v>
      </c>
      <c r="Q177" s="44">
        <v>2329</v>
      </c>
      <c r="R177" s="76">
        <v>4119</v>
      </c>
      <c r="S177" s="76">
        <f t="shared" si="365"/>
        <v>3295.2</v>
      </c>
      <c r="T177" s="76"/>
      <c r="U177" s="76"/>
      <c r="V177" s="76">
        <f>R177*0.8</f>
        <v>3295.2</v>
      </c>
      <c r="W177" s="76"/>
      <c r="X177" s="44">
        <f t="shared" si="367"/>
        <v>1125.58231762168</v>
      </c>
      <c r="Y177" s="76">
        <v>7681</v>
      </c>
      <c r="Z177" s="103">
        <f t="shared" si="368"/>
        <v>0.976537369914853</v>
      </c>
      <c r="AA177" s="44">
        <f t="shared" si="369"/>
        <v>13573.7382646966</v>
      </c>
      <c r="AB177" s="44">
        <v>13</v>
      </c>
      <c r="AC177" s="44">
        <f t="shared" si="376"/>
        <v>4362.06657754011</v>
      </c>
      <c r="AD177" s="44">
        <v>1800</v>
      </c>
      <c r="AE177" s="76">
        <f t="shared" si="370"/>
        <v>13863.2</v>
      </c>
      <c r="AF177" s="44">
        <f t="shared" si="371"/>
        <v>1444.07085136839</v>
      </c>
      <c r="AG177" s="44">
        <f>VLOOKUP(B:B,[2]Sheet2!$B:$E,4,0)</f>
        <v>13</v>
      </c>
      <c r="AH177" s="44">
        <f t="shared" si="372"/>
        <v>130.391173520562</v>
      </c>
      <c r="AI177" s="44"/>
      <c r="AJ177" s="115">
        <f>VLOOKUP(B:B,'[1]扶贫资金项目情况调度统计表 (2)'!$B:$I,8,0)</f>
        <v>0.836447860855294</v>
      </c>
      <c r="AK177" s="44">
        <f t="shared" si="373"/>
        <v>256.622045299697</v>
      </c>
      <c r="AL177" s="76">
        <v>88.13</v>
      </c>
      <c r="AM177" s="44">
        <f t="shared" si="374"/>
        <v>245.373605684112</v>
      </c>
      <c r="AN177" s="67">
        <f t="shared" si="375"/>
        <v>22938</v>
      </c>
      <c r="AO177" s="44" t="e">
        <f>#REF!*1254933/1408452</f>
        <v>#REF!</v>
      </c>
      <c r="AP177" s="44" t="e">
        <f t="shared" si="274"/>
        <v>#REF!</v>
      </c>
      <c r="AQ177" s="126" t="e">
        <f t="shared" si="275"/>
        <v>#REF!</v>
      </c>
      <c r="AR177" s="44">
        <v>840</v>
      </c>
      <c r="AS177" s="44">
        <v>0</v>
      </c>
      <c r="AT177" s="44">
        <v>0</v>
      </c>
      <c r="AU177" s="127">
        <f t="shared" si="360"/>
        <v>23778</v>
      </c>
    </row>
    <row r="178" ht="17" customHeight="1" spans="1:47">
      <c r="A178" s="31">
        <v>118</v>
      </c>
      <c r="B178" s="51" t="s">
        <v>213</v>
      </c>
      <c r="C178" s="31" t="s">
        <v>93</v>
      </c>
      <c r="D178" s="31">
        <v>2020</v>
      </c>
      <c r="E178" s="31" t="s">
        <v>94</v>
      </c>
      <c r="F178" s="31" t="s">
        <v>146</v>
      </c>
      <c r="G178" s="44">
        <v>40354</v>
      </c>
      <c r="H178" s="44"/>
      <c r="I178" s="44"/>
      <c r="J178" s="75">
        <v>63159</v>
      </c>
      <c r="K178" s="76">
        <f t="shared" si="354"/>
        <v>63159</v>
      </c>
      <c r="L178" s="76">
        <f t="shared" si="355"/>
        <v>0</v>
      </c>
      <c r="M178" s="76">
        <f t="shared" si="356"/>
        <v>0</v>
      </c>
      <c r="N178" s="76">
        <f t="shared" si="357"/>
        <v>0</v>
      </c>
      <c r="O178" s="76">
        <f t="shared" si="358"/>
        <v>0</v>
      </c>
      <c r="P178" s="76">
        <f t="shared" si="359"/>
        <v>63159</v>
      </c>
      <c r="Q178" s="44">
        <v>9798</v>
      </c>
      <c r="R178" s="76">
        <v>29313</v>
      </c>
      <c r="S178" s="76">
        <f t="shared" si="365"/>
        <v>29313</v>
      </c>
      <c r="T178" s="76"/>
      <c r="U178" s="76"/>
      <c r="V178" s="76"/>
      <c r="W178" s="76">
        <f t="shared" si="366"/>
        <v>29313</v>
      </c>
      <c r="X178" s="44">
        <f t="shared" si="367"/>
        <v>6030.87966928315</v>
      </c>
      <c r="Y178" s="76">
        <v>7973</v>
      </c>
      <c r="Z178" s="103">
        <f t="shared" si="368"/>
        <v>0.921286660359508</v>
      </c>
      <c r="AA178" s="44">
        <f t="shared" si="369"/>
        <v>12805.7608236404</v>
      </c>
      <c r="AB178" s="44">
        <v>37</v>
      </c>
      <c r="AC178" s="44">
        <f t="shared" si="376"/>
        <v>12415.1125668449</v>
      </c>
      <c r="AD178" s="44">
        <v>1800</v>
      </c>
      <c r="AE178" s="76">
        <f t="shared" si="370"/>
        <v>63159</v>
      </c>
      <c r="AF178" s="44">
        <f t="shared" si="371"/>
        <v>6579.00563373364</v>
      </c>
      <c r="AG178" s="44">
        <f>VLOOKUP(B:B,[2]Sheet2!$B:$E,4,0)</f>
        <v>37</v>
      </c>
      <c r="AH178" s="44">
        <f t="shared" si="372"/>
        <v>371.11334002006</v>
      </c>
      <c r="AI178" s="44"/>
      <c r="AJ178" s="115">
        <f>VLOOKUP(B:B,'[1]扶贫资金项目情况调度统计表 (2)'!$B:$I,8,0)</f>
        <v>0.946960566666277</v>
      </c>
      <c r="AK178" s="44">
        <f t="shared" si="373"/>
        <v>290.527322513054</v>
      </c>
      <c r="AL178" s="76">
        <v>91.05</v>
      </c>
      <c r="AM178" s="44">
        <f t="shared" si="374"/>
        <v>253.503537927362</v>
      </c>
      <c r="AN178" s="67">
        <f t="shared" si="375"/>
        <v>40546</v>
      </c>
      <c r="AO178" s="44" t="e">
        <f>#REF!*1254933/1408452</f>
        <v>#REF!</v>
      </c>
      <c r="AP178" s="44" t="e">
        <f t="shared" si="274"/>
        <v>#REF!</v>
      </c>
      <c r="AQ178" s="126" t="e">
        <f t="shared" si="275"/>
        <v>#REF!</v>
      </c>
      <c r="AR178" s="44">
        <v>500</v>
      </c>
      <c r="AS178" s="44">
        <v>0</v>
      </c>
      <c r="AT178" s="44">
        <v>0</v>
      </c>
      <c r="AU178" s="127">
        <f t="shared" si="360"/>
        <v>41046</v>
      </c>
    </row>
    <row r="179" s="6" customFormat="1" ht="17" customHeight="1" spans="1:85">
      <c r="A179" s="39"/>
      <c r="B179" s="40" t="s">
        <v>217</v>
      </c>
      <c r="C179" s="41">
        <v>1</v>
      </c>
      <c r="D179" s="41"/>
      <c r="E179" s="41"/>
      <c r="F179" s="41"/>
      <c r="G179" s="43">
        <v>94247</v>
      </c>
      <c r="H179" s="43">
        <f>H180+H181</f>
        <v>0</v>
      </c>
      <c r="I179" s="43">
        <f>I180+I181</f>
        <v>0</v>
      </c>
      <c r="J179" s="54">
        <f t="shared" ref="J179:X179" si="377">J180+J181</f>
        <v>68762</v>
      </c>
      <c r="K179" s="77">
        <f t="shared" si="377"/>
        <v>49317.6</v>
      </c>
      <c r="L179" s="77">
        <f t="shared" si="377"/>
        <v>0</v>
      </c>
      <c r="M179" s="77">
        <f t="shared" si="377"/>
        <v>0</v>
      </c>
      <c r="N179" s="77">
        <f t="shared" si="377"/>
        <v>17076</v>
      </c>
      <c r="O179" s="77">
        <f t="shared" si="377"/>
        <v>32241.6</v>
      </c>
      <c r="P179" s="77">
        <f t="shared" si="377"/>
        <v>0</v>
      </c>
      <c r="Q179" s="43">
        <v>7003</v>
      </c>
      <c r="R179" s="77">
        <f t="shared" si="377"/>
        <v>10729</v>
      </c>
      <c r="S179" s="77">
        <f t="shared" si="377"/>
        <v>8119</v>
      </c>
      <c r="T179" s="77">
        <f t="shared" si="377"/>
        <v>0</v>
      </c>
      <c r="U179" s="77">
        <f t="shared" si="377"/>
        <v>1392.6</v>
      </c>
      <c r="V179" s="77">
        <f t="shared" si="377"/>
        <v>6726.4</v>
      </c>
      <c r="W179" s="77">
        <f t="shared" si="377"/>
        <v>0</v>
      </c>
      <c r="X179" s="43">
        <f t="shared" si="377"/>
        <v>3664.66901951639</v>
      </c>
      <c r="Y179" s="77"/>
      <c r="Z179" s="104">
        <f t="shared" ref="Z179:AD179" si="378">Z180+Z181</f>
        <v>1.56404919583728</v>
      </c>
      <c r="AA179" s="43">
        <f t="shared" si="378"/>
        <v>21740.0737252436</v>
      </c>
      <c r="AB179" s="43">
        <v>0</v>
      </c>
      <c r="AC179" s="43">
        <f t="shared" si="378"/>
        <v>0</v>
      </c>
      <c r="AD179" s="43">
        <f t="shared" si="378"/>
        <v>5400</v>
      </c>
      <c r="AE179" s="54">
        <f t="shared" ref="AE179:AI179" si="379">AE180+AE181</f>
        <v>49317.6</v>
      </c>
      <c r="AF179" s="43">
        <f t="shared" si="379"/>
        <v>5137.20559607059</v>
      </c>
      <c r="AG179" s="43">
        <f t="shared" si="379"/>
        <v>10</v>
      </c>
      <c r="AH179" s="43">
        <f t="shared" si="379"/>
        <v>100.300902708124</v>
      </c>
      <c r="AI179" s="43">
        <f t="shared" si="379"/>
        <v>0</v>
      </c>
      <c r="AJ179" s="118"/>
      <c r="AK179" s="43">
        <f t="shared" ref="AK179:AO179" si="380">AK180+AK181</f>
        <v>787.262513174017</v>
      </c>
      <c r="AL179" s="54">
        <f t="shared" si="380"/>
        <v>259.71</v>
      </c>
      <c r="AM179" s="43">
        <f t="shared" si="380"/>
        <v>723.09065167617</v>
      </c>
      <c r="AN179" s="119">
        <f t="shared" si="380"/>
        <v>37553</v>
      </c>
      <c r="AO179" s="43" t="e">
        <f t="shared" si="380"/>
        <v>#REF!</v>
      </c>
      <c r="AP179" s="86" t="e">
        <f t="shared" si="274"/>
        <v>#REF!</v>
      </c>
      <c r="AQ179" s="125" t="e">
        <f t="shared" si="275"/>
        <v>#REF!</v>
      </c>
      <c r="AR179" s="43">
        <v>1010</v>
      </c>
      <c r="AS179" s="43">
        <v>0</v>
      </c>
      <c r="AT179" s="43">
        <v>368</v>
      </c>
      <c r="AU179" s="43">
        <f>AU180+AU181</f>
        <v>38931</v>
      </c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</row>
    <row r="180" ht="17" customHeight="1" spans="1:47">
      <c r="A180" s="29"/>
      <c r="B180" s="30" t="s">
        <v>218</v>
      </c>
      <c r="C180" s="31">
        <v>2</v>
      </c>
      <c r="D180" s="31"/>
      <c r="E180" s="31"/>
      <c r="F180" s="31"/>
      <c r="G180" s="44">
        <v>717</v>
      </c>
      <c r="H180" s="44"/>
      <c r="I180" s="44"/>
      <c r="J180" s="75"/>
      <c r="K180" s="76">
        <f t="shared" ref="K180:K184" si="381">SUM(L180:P180)</f>
        <v>0</v>
      </c>
      <c r="L180" s="76">
        <f t="shared" ref="L180:L184" si="382">IF(D180="",J180*0.2,0)</f>
        <v>0</v>
      </c>
      <c r="M180" s="76">
        <f t="shared" ref="M180:M184" si="383">IF(D180=2017,J180*0.4,0)</f>
        <v>0</v>
      </c>
      <c r="N180" s="76">
        <f t="shared" ref="N180:N184" si="384">IF(D180=2018,J180*0.6,0)</f>
        <v>0</v>
      </c>
      <c r="O180" s="76">
        <f t="shared" ref="O180:O184" si="385">IF(D180=2019,J180*0.8,0)</f>
        <v>0</v>
      </c>
      <c r="P180" s="76">
        <f t="shared" ref="P180:P184" si="386">IF(D180=2020,J180*1,0)</f>
        <v>0</v>
      </c>
      <c r="Q180" s="44"/>
      <c r="R180" s="76"/>
      <c r="S180" s="76">
        <f>O180*0.4+P180*0.6+Q180*0.8+R180*1</f>
        <v>0</v>
      </c>
      <c r="T180" s="76">
        <f>R180-U180-V180-W180</f>
        <v>0</v>
      </c>
      <c r="U180" s="76"/>
      <c r="V180" s="76"/>
      <c r="W180" s="76"/>
      <c r="X180" s="44"/>
      <c r="Y180" s="76"/>
      <c r="Z180" s="103"/>
      <c r="AA180" s="44"/>
      <c r="AB180" s="44"/>
      <c r="AC180" s="44"/>
      <c r="AD180" s="44"/>
      <c r="AE180" s="76"/>
      <c r="AF180" s="44"/>
      <c r="AG180" s="44"/>
      <c r="AH180" s="44"/>
      <c r="AI180" s="44"/>
      <c r="AJ180" s="115"/>
      <c r="AK180" s="44"/>
      <c r="AL180" s="76"/>
      <c r="AM180" s="44"/>
      <c r="AN180" s="44"/>
      <c r="AO180" s="44"/>
      <c r="AP180" s="86">
        <f t="shared" si="274"/>
        <v>0</v>
      </c>
      <c r="AQ180" s="125"/>
      <c r="AR180" s="44"/>
      <c r="AS180" s="44"/>
      <c r="AT180" s="44"/>
      <c r="AU180" s="127">
        <f t="shared" ref="AU180:AU184" si="387">AT180+AS180+AR180+AN180</f>
        <v>0</v>
      </c>
    </row>
    <row r="181" s="7" customFormat="1" ht="17" customHeight="1" spans="1:85">
      <c r="A181" s="45"/>
      <c r="B181" s="46" t="s">
        <v>76</v>
      </c>
      <c r="C181" s="47">
        <v>3</v>
      </c>
      <c r="D181" s="47"/>
      <c r="E181" s="47"/>
      <c r="F181" s="47"/>
      <c r="G181" s="49">
        <v>93530</v>
      </c>
      <c r="H181" s="49">
        <f>SUM(H182:H184)</f>
        <v>0</v>
      </c>
      <c r="I181" s="49">
        <f>SUM(I182:I184)</f>
        <v>0</v>
      </c>
      <c r="J181" s="55">
        <f t="shared" ref="J181:X181" si="388">SUM(J182:J184)</f>
        <v>68762</v>
      </c>
      <c r="K181" s="78">
        <f t="shared" si="388"/>
        <v>49317.6</v>
      </c>
      <c r="L181" s="78">
        <f t="shared" si="388"/>
        <v>0</v>
      </c>
      <c r="M181" s="78">
        <f t="shared" si="388"/>
        <v>0</v>
      </c>
      <c r="N181" s="78">
        <f t="shared" si="388"/>
        <v>17076</v>
      </c>
      <c r="O181" s="78">
        <f t="shared" si="388"/>
        <v>32241.6</v>
      </c>
      <c r="P181" s="78">
        <f t="shared" si="388"/>
        <v>0</v>
      </c>
      <c r="Q181" s="49">
        <v>7003</v>
      </c>
      <c r="R181" s="78">
        <f t="shared" si="388"/>
        <v>10729</v>
      </c>
      <c r="S181" s="78">
        <f t="shared" si="388"/>
        <v>8119</v>
      </c>
      <c r="T181" s="78">
        <f t="shared" si="388"/>
        <v>0</v>
      </c>
      <c r="U181" s="78">
        <f t="shared" si="388"/>
        <v>1392.6</v>
      </c>
      <c r="V181" s="78">
        <f t="shared" si="388"/>
        <v>6726.4</v>
      </c>
      <c r="W181" s="78">
        <f t="shared" si="388"/>
        <v>0</v>
      </c>
      <c r="X181" s="49">
        <f t="shared" si="388"/>
        <v>3664.66901951639</v>
      </c>
      <c r="Y181" s="78"/>
      <c r="Z181" s="105">
        <f t="shared" ref="Z181:AD181" si="389">SUM(Z182:Z184)</f>
        <v>1.56404919583728</v>
      </c>
      <c r="AA181" s="49">
        <f t="shared" si="389"/>
        <v>21740.0737252436</v>
      </c>
      <c r="AB181" s="49">
        <v>0</v>
      </c>
      <c r="AC181" s="49">
        <f t="shared" si="389"/>
        <v>0</v>
      </c>
      <c r="AD181" s="49">
        <f t="shared" si="389"/>
        <v>5400</v>
      </c>
      <c r="AE181" s="55">
        <f t="shared" ref="AE181:AI181" si="390">SUM(AE182:AE184)</f>
        <v>49317.6</v>
      </c>
      <c r="AF181" s="49">
        <f t="shared" si="390"/>
        <v>5137.20559607059</v>
      </c>
      <c r="AG181" s="49">
        <f t="shared" si="390"/>
        <v>10</v>
      </c>
      <c r="AH181" s="49">
        <f t="shared" si="390"/>
        <v>100.300902708124</v>
      </c>
      <c r="AI181" s="49">
        <f t="shared" si="390"/>
        <v>0</v>
      </c>
      <c r="AJ181" s="120"/>
      <c r="AK181" s="49">
        <f t="shared" ref="AK181:AO181" si="391">SUM(AK182:AK184)</f>
        <v>787.262513174017</v>
      </c>
      <c r="AL181" s="55">
        <f t="shared" si="391"/>
        <v>259.71</v>
      </c>
      <c r="AM181" s="49">
        <f t="shared" si="391"/>
        <v>723.09065167617</v>
      </c>
      <c r="AN181" s="121">
        <f t="shared" si="391"/>
        <v>37553</v>
      </c>
      <c r="AO181" s="49" t="e">
        <f t="shared" si="391"/>
        <v>#REF!</v>
      </c>
      <c r="AP181" s="86" t="e">
        <f t="shared" si="274"/>
        <v>#REF!</v>
      </c>
      <c r="AQ181" s="125" t="e">
        <f t="shared" si="275"/>
        <v>#REF!</v>
      </c>
      <c r="AR181" s="49">
        <v>1010</v>
      </c>
      <c r="AS181" s="49">
        <v>0</v>
      </c>
      <c r="AT181" s="49">
        <v>368</v>
      </c>
      <c r="AU181" s="49">
        <f>SUM(AU182:AU184)</f>
        <v>38931</v>
      </c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</row>
    <row r="182" ht="17" customHeight="1" spans="1:47">
      <c r="A182" s="31">
        <v>119</v>
      </c>
      <c r="B182" s="51" t="s">
        <v>219</v>
      </c>
      <c r="C182" s="31" t="s">
        <v>93</v>
      </c>
      <c r="D182" s="31">
        <v>2018</v>
      </c>
      <c r="E182" s="31" t="s">
        <v>94</v>
      </c>
      <c r="F182" s="31"/>
      <c r="G182" s="44">
        <v>23887</v>
      </c>
      <c r="H182" s="44"/>
      <c r="I182" s="44"/>
      <c r="J182" s="75">
        <v>16714</v>
      </c>
      <c r="K182" s="76">
        <f t="shared" si="381"/>
        <v>10028.4</v>
      </c>
      <c r="L182" s="76">
        <f t="shared" si="382"/>
        <v>0</v>
      </c>
      <c r="M182" s="76">
        <f t="shared" si="383"/>
        <v>0</v>
      </c>
      <c r="N182" s="76">
        <f t="shared" si="384"/>
        <v>10028.4</v>
      </c>
      <c r="O182" s="76">
        <f t="shared" si="385"/>
        <v>0</v>
      </c>
      <c r="P182" s="76">
        <f t="shared" si="386"/>
        <v>0</v>
      </c>
      <c r="Q182" s="44">
        <v>1131</v>
      </c>
      <c r="R182" s="76">
        <v>2321</v>
      </c>
      <c r="S182" s="76">
        <f t="shared" ref="S182:S184" si="392">T182+U182+V182+W182</f>
        <v>1392.6</v>
      </c>
      <c r="T182" s="76"/>
      <c r="U182" s="76">
        <f>R182*0.6</f>
        <v>1392.6</v>
      </c>
      <c r="V182" s="76"/>
      <c r="W182" s="76"/>
      <c r="X182" s="44">
        <f t="shared" ref="X182:X184" si="393">(K182/$K$10*0.2+Q182/$Q$10*0.05+S182/$S$10*0.05)*1254933</f>
        <v>705.696203306455</v>
      </c>
      <c r="Y182" s="76">
        <v>10139</v>
      </c>
      <c r="Z182" s="103">
        <f t="shared" ref="Z182:Z184" si="394">IF(Y182&lt;12842,(12842-Y182)/(12842-$Y$176),0)</f>
        <v>0.511447492904447</v>
      </c>
      <c r="AA182" s="44">
        <f t="shared" ref="AA182:AA184" si="395">(Z182/$Z$10*0.2)*1254933</f>
        <v>7109.05144922981</v>
      </c>
      <c r="AB182" s="44"/>
      <c r="AC182" s="44"/>
      <c r="AD182" s="44">
        <v>1800</v>
      </c>
      <c r="AE182" s="76">
        <f t="shared" ref="AE182:AE184" si="396">K182</f>
        <v>10028.4</v>
      </c>
      <c r="AF182" s="44">
        <f t="shared" ref="AF182:AF184" si="397">AE182/$AE$10*372626.55</f>
        <v>1044.61597076164</v>
      </c>
      <c r="AG182" s="44">
        <f>VLOOKUP(B:B,[2]Sheet2!$B:$E,4,0)</f>
        <v>4</v>
      </c>
      <c r="AH182" s="44">
        <f t="shared" ref="AH182:AH184" si="398">AG182/$AG$10*10000</f>
        <v>40.1203610832497</v>
      </c>
      <c r="AI182" s="44"/>
      <c r="AJ182" s="115">
        <f>VLOOKUP(B:B,'[1]扶贫资金项目情况调度统计表 (2)'!$B:$I,8,0)</f>
        <v>0.752099444427939</v>
      </c>
      <c r="AK182" s="44">
        <f t="shared" ref="AK182:AK184" si="399">AJ182/$AJ$10*0.025*1254933</f>
        <v>230.743967114112</v>
      </c>
      <c r="AL182" s="76">
        <v>88.3</v>
      </c>
      <c r="AM182" s="44">
        <f t="shared" ref="AM182:AM184" si="400">(AL182/$AL$10)*0.025*1254933</f>
        <v>245.846923657178</v>
      </c>
      <c r="AN182" s="67">
        <f t="shared" ref="AN182:AN184" si="401">ROUND(AM182+AK182+AI182+AF182+AH182+AD182+AC182+AA182+X182,0)</f>
        <v>11176</v>
      </c>
      <c r="AO182" s="44" t="e">
        <f>#REF!*1254933/1408452</f>
        <v>#REF!</v>
      </c>
      <c r="AP182" s="44" t="e">
        <f t="shared" si="274"/>
        <v>#REF!</v>
      </c>
      <c r="AQ182" s="126" t="e">
        <f t="shared" si="275"/>
        <v>#REF!</v>
      </c>
      <c r="AR182" s="44">
        <v>510</v>
      </c>
      <c r="AS182" s="44">
        <v>0</v>
      </c>
      <c r="AT182" s="44">
        <v>197</v>
      </c>
      <c r="AU182" s="127">
        <f t="shared" si="387"/>
        <v>11883</v>
      </c>
    </row>
    <row r="183" ht="17" customHeight="1" spans="1:47">
      <c r="A183" s="31">
        <v>120</v>
      </c>
      <c r="B183" s="51" t="s">
        <v>221</v>
      </c>
      <c r="C183" s="31" t="s">
        <v>93</v>
      </c>
      <c r="D183" s="31">
        <v>2019</v>
      </c>
      <c r="E183" s="31" t="s">
        <v>94</v>
      </c>
      <c r="F183" s="31"/>
      <c r="G183" s="44">
        <v>47262</v>
      </c>
      <c r="H183" s="44"/>
      <c r="I183" s="44"/>
      <c r="J183" s="75">
        <v>40302</v>
      </c>
      <c r="K183" s="76">
        <f t="shared" si="381"/>
        <v>32241.6</v>
      </c>
      <c r="L183" s="76">
        <f t="shared" si="382"/>
        <v>0</v>
      </c>
      <c r="M183" s="76">
        <f t="shared" si="383"/>
        <v>0</v>
      </c>
      <c r="N183" s="76">
        <f t="shared" si="384"/>
        <v>0</v>
      </c>
      <c r="O183" s="76">
        <f t="shared" si="385"/>
        <v>32241.6</v>
      </c>
      <c r="P183" s="76">
        <f t="shared" si="386"/>
        <v>0</v>
      </c>
      <c r="Q183" s="44">
        <v>4739</v>
      </c>
      <c r="R183" s="76">
        <v>5324</v>
      </c>
      <c r="S183" s="76">
        <f t="shared" si="392"/>
        <v>4259.2</v>
      </c>
      <c r="T183" s="76"/>
      <c r="U183" s="76"/>
      <c r="V183" s="76">
        <f t="shared" ref="V183:V188" si="402">R183*0.8</f>
        <v>4259.2</v>
      </c>
      <c r="W183" s="76"/>
      <c r="X183" s="44">
        <f t="shared" si="393"/>
        <v>2337.20885271151</v>
      </c>
      <c r="Y183" s="76">
        <v>10076</v>
      </c>
      <c r="Z183" s="103">
        <f t="shared" si="394"/>
        <v>0.523368022705771</v>
      </c>
      <c r="AA183" s="44">
        <f t="shared" si="395"/>
        <v>7274.74521219742</v>
      </c>
      <c r="AB183" s="44"/>
      <c r="AC183" s="44"/>
      <c r="AD183" s="44">
        <v>1800</v>
      </c>
      <c r="AE183" s="76">
        <f t="shared" si="396"/>
        <v>32241.6</v>
      </c>
      <c r="AF183" s="44">
        <f t="shared" si="397"/>
        <v>3358.47097073396</v>
      </c>
      <c r="AG183" s="44">
        <f>VLOOKUP(B:B,[2]Sheet2!$B:$E,4,0)</f>
        <v>3</v>
      </c>
      <c r="AH183" s="44">
        <f t="shared" si="398"/>
        <v>30.0902708124373</v>
      </c>
      <c r="AI183" s="44"/>
      <c r="AJ183" s="115">
        <f>VLOOKUP(B:B,'[1]扶贫资金项目情况调度统计表 (2)'!$B:$I,8,0)</f>
        <v>1</v>
      </c>
      <c r="AK183" s="44">
        <f t="shared" si="399"/>
        <v>306.799810614966</v>
      </c>
      <c r="AL183" s="76">
        <v>88.89</v>
      </c>
      <c r="AM183" s="44">
        <f t="shared" si="400"/>
        <v>247.489615446054</v>
      </c>
      <c r="AN183" s="67">
        <f t="shared" si="401"/>
        <v>15355</v>
      </c>
      <c r="AO183" s="44" t="e">
        <f>#REF!*1254933/1408452</f>
        <v>#REF!</v>
      </c>
      <c r="AP183" s="44" t="e">
        <f t="shared" si="274"/>
        <v>#REF!</v>
      </c>
      <c r="AQ183" s="126" t="e">
        <f t="shared" si="275"/>
        <v>#REF!</v>
      </c>
      <c r="AR183" s="44">
        <v>0</v>
      </c>
      <c r="AS183" s="44">
        <v>0</v>
      </c>
      <c r="AT183" s="44">
        <v>92</v>
      </c>
      <c r="AU183" s="127">
        <f t="shared" si="387"/>
        <v>15447</v>
      </c>
    </row>
    <row r="184" ht="17" customHeight="1" spans="1:47">
      <c r="A184" s="31">
        <v>121</v>
      </c>
      <c r="B184" s="51" t="s">
        <v>220</v>
      </c>
      <c r="C184" s="31" t="s">
        <v>93</v>
      </c>
      <c r="D184" s="31">
        <v>2018</v>
      </c>
      <c r="E184" s="31" t="s">
        <v>94</v>
      </c>
      <c r="F184" s="31"/>
      <c r="G184" s="44">
        <v>22381</v>
      </c>
      <c r="H184" s="44"/>
      <c r="I184" s="44"/>
      <c r="J184" s="75">
        <v>11746</v>
      </c>
      <c r="K184" s="76">
        <f t="shared" si="381"/>
        <v>7047.6</v>
      </c>
      <c r="L184" s="76">
        <f t="shared" si="382"/>
        <v>0</v>
      </c>
      <c r="M184" s="76">
        <f t="shared" si="383"/>
        <v>0</v>
      </c>
      <c r="N184" s="76">
        <f t="shared" si="384"/>
        <v>7047.6</v>
      </c>
      <c r="O184" s="76">
        <f t="shared" si="385"/>
        <v>0</v>
      </c>
      <c r="P184" s="76">
        <f t="shared" si="386"/>
        <v>0</v>
      </c>
      <c r="Q184" s="44">
        <v>1133</v>
      </c>
      <c r="R184" s="76">
        <v>3084</v>
      </c>
      <c r="S184" s="76">
        <f t="shared" si="392"/>
        <v>2467.2</v>
      </c>
      <c r="T184" s="76"/>
      <c r="U184" s="76"/>
      <c r="V184" s="76">
        <f t="shared" si="402"/>
        <v>2467.2</v>
      </c>
      <c r="W184" s="76"/>
      <c r="X184" s="44">
        <f t="shared" si="393"/>
        <v>621.763963498422</v>
      </c>
      <c r="Y184" s="76">
        <v>10045</v>
      </c>
      <c r="Z184" s="103">
        <f t="shared" si="394"/>
        <v>0.529233680227058</v>
      </c>
      <c r="AA184" s="44">
        <f t="shared" si="395"/>
        <v>7356.27706381641</v>
      </c>
      <c r="AB184" s="44"/>
      <c r="AC184" s="44"/>
      <c r="AD184" s="44">
        <v>1800</v>
      </c>
      <c r="AE184" s="76">
        <f t="shared" si="396"/>
        <v>7047.6</v>
      </c>
      <c r="AF184" s="44">
        <f t="shared" si="397"/>
        <v>734.11865457498</v>
      </c>
      <c r="AG184" s="44">
        <f>VLOOKUP(B:B,[2]Sheet2!$B:$E,4,0)</f>
        <v>3</v>
      </c>
      <c r="AH184" s="44">
        <f t="shared" si="398"/>
        <v>30.0902708124373</v>
      </c>
      <c r="AI184" s="44"/>
      <c r="AJ184" s="115">
        <f>VLOOKUP(B:B,'[1]扶贫资金项目情况调度统计表 (2)'!$B:$I,8,0)</f>
        <v>0.813946837008764</v>
      </c>
      <c r="AK184" s="44">
        <f t="shared" si="399"/>
        <v>249.718735444939</v>
      </c>
      <c r="AL184" s="76">
        <v>82.52</v>
      </c>
      <c r="AM184" s="44">
        <f t="shared" si="400"/>
        <v>229.754112572937</v>
      </c>
      <c r="AN184" s="67">
        <f t="shared" si="401"/>
        <v>11022</v>
      </c>
      <c r="AO184" s="44" t="e">
        <f>#REF!*1254933/1408452</f>
        <v>#REF!</v>
      </c>
      <c r="AP184" s="44" t="e">
        <f t="shared" si="274"/>
        <v>#REF!</v>
      </c>
      <c r="AQ184" s="126" t="e">
        <f t="shared" si="275"/>
        <v>#REF!</v>
      </c>
      <c r="AR184" s="44">
        <v>500</v>
      </c>
      <c r="AS184" s="44">
        <v>0</v>
      </c>
      <c r="AT184" s="44">
        <v>79</v>
      </c>
      <c r="AU184" s="127">
        <f t="shared" si="387"/>
        <v>11601</v>
      </c>
    </row>
    <row r="185" s="6" customFormat="1" ht="17" customHeight="1" spans="1:85">
      <c r="A185" s="39"/>
      <c r="B185" s="40" t="s">
        <v>222</v>
      </c>
      <c r="C185" s="41">
        <v>1</v>
      </c>
      <c r="D185" s="41"/>
      <c r="E185" s="41"/>
      <c r="F185" s="41"/>
      <c r="G185" s="43">
        <v>62434</v>
      </c>
      <c r="H185" s="43">
        <f>H186+H187</f>
        <v>0</v>
      </c>
      <c r="I185" s="43">
        <f>I186+I187</f>
        <v>0</v>
      </c>
      <c r="J185" s="54">
        <f t="shared" ref="J185:X185" si="403">J186+J187</f>
        <v>332572</v>
      </c>
      <c r="K185" s="77">
        <f t="shared" si="403"/>
        <v>200588.4</v>
      </c>
      <c r="L185" s="77">
        <f t="shared" si="403"/>
        <v>0</v>
      </c>
      <c r="M185" s="77">
        <f t="shared" si="403"/>
        <v>17008.4</v>
      </c>
      <c r="N185" s="77">
        <f t="shared" si="403"/>
        <v>145382.4</v>
      </c>
      <c r="O185" s="77">
        <f t="shared" si="403"/>
        <v>38197.6</v>
      </c>
      <c r="P185" s="77">
        <f t="shared" si="403"/>
        <v>0</v>
      </c>
      <c r="Q185" s="43">
        <v>35375</v>
      </c>
      <c r="R185" s="77">
        <f t="shared" si="403"/>
        <v>21233</v>
      </c>
      <c r="S185" s="77">
        <f t="shared" si="403"/>
        <v>15913.6</v>
      </c>
      <c r="T185" s="77">
        <f t="shared" si="403"/>
        <v>178.4</v>
      </c>
      <c r="U185" s="77">
        <f t="shared" si="403"/>
        <v>2683.2</v>
      </c>
      <c r="V185" s="77">
        <f t="shared" si="403"/>
        <v>13052</v>
      </c>
      <c r="W185" s="77">
        <f t="shared" si="403"/>
        <v>0</v>
      </c>
      <c r="X185" s="43">
        <f t="shared" si="403"/>
        <v>14270.9983665321</v>
      </c>
      <c r="Y185" s="77"/>
      <c r="Z185" s="104">
        <f t="shared" ref="Z185:AD185" si="404">Z186+Z187</f>
        <v>0.134720908230842</v>
      </c>
      <c r="AA185" s="43">
        <f t="shared" si="404"/>
        <v>1872.60252750707</v>
      </c>
      <c r="AB185" s="43">
        <v>44</v>
      </c>
      <c r="AC185" s="43">
        <f t="shared" si="404"/>
        <v>14763.9176470588</v>
      </c>
      <c r="AD185" s="43">
        <f t="shared" si="404"/>
        <v>0</v>
      </c>
      <c r="AE185" s="54">
        <f t="shared" ref="AE185:AI185" si="405">AE186+AE187</f>
        <v>61681.92</v>
      </c>
      <c r="AF185" s="43">
        <f t="shared" si="405"/>
        <v>6425.14446364742</v>
      </c>
      <c r="AG185" s="43">
        <f t="shared" si="405"/>
        <v>64</v>
      </c>
      <c r="AH185" s="43">
        <f t="shared" si="405"/>
        <v>641.925777331996</v>
      </c>
      <c r="AI185" s="43">
        <f t="shared" si="405"/>
        <v>0</v>
      </c>
      <c r="AJ185" s="118"/>
      <c r="AK185" s="43">
        <f t="shared" ref="AK185:AO185" si="406">AK186+AK187</f>
        <v>1819.5076717496</v>
      </c>
      <c r="AL185" s="54">
        <f t="shared" si="406"/>
        <v>743.29</v>
      </c>
      <c r="AM185" s="43">
        <f t="shared" si="406"/>
        <v>2069.48538941273</v>
      </c>
      <c r="AN185" s="85">
        <f t="shared" si="406"/>
        <v>41864</v>
      </c>
      <c r="AO185" s="43" t="e">
        <f t="shared" si="406"/>
        <v>#REF!</v>
      </c>
      <c r="AP185" s="86" t="e">
        <f t="shared" si="274"/>
        <v>#REF!</v>
      </c>
      <c r="AQ185" s="125" t="e">
        <f t="shared" si="275"/>
        <v>#REF!</v>
      </c>
      <c r="AR185" s="43">
        <v>3000</v>
      </c>
      <c r="AS185" s="43">
        <v>621</v>
      </c>
      <c r="AT185" s="43">
        <v>346</v>
      </c>
      <c r="AU185" s="43">
        <f>AU186+AU187</f>
        <v>45831</v>
      </c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</row>
    <row r="186" ht="17" customHeight="1" spans="1:47">
      <c r="A186" s="29"/>
      <c r="B186" s="30" t="s">
        <v>223</v>
      </c>
      <c r="C186" s="31">
        <v>2</v>
      </c>
      <c r="D186" s="31"/>
      <c r="E186" s="31"/>
      <c r="F186" s="31"/>
      <c r="G186" s="44">
        <v>8</v>
      </c>
      <c r="H186" s="44"/>
      <c r="I186" s="44"/>
      <c r="J186" s="75"/>
      <c r="K186" s="76">
        <f t="shared" ref="K186:K195" si="407">SUM(L186:P186)</f>
        <v>0</v>
      </c>
      <c r="L186" s="76">
        <f t="shared" ref="L186:L195" si="408">IF(D186="",J186*0.2,0)</f>
        <v>0</v>
      </c>
      <c r="M186" s="76">
        <f t="shared" ref="M186:M195" si="409">IF(D186=2017,J186*0.4,0)</f>
        <v>0</v>
      </c>
      <c r="N186" s="76">
        <f t="shared" ref="N186:N195" si="410">IF(D186=2018,J186*0.6,0)</f>
        <v>0</v>
      </c>
      <c r="O186" s="76">
        <f t="shared" ref="O186:O195" si="411">IF(D186=2019,J186*0.8,0)</f>
        <v>0</v>
      </c>
      <c r="P186" s="76">
        <f t="shared" ref="P186:P195" si="412">IF(D186=2020,J186*1,0)</f>
        <v>0</v>
      </c>
      <c r="Q186" s="44"/>
      <c r="R186" s="76"/>
      <c r="S186" s="76">
        <f>O186*0.4+P186*0.6+Q186*0.8+R186*1</f>
        <v>0</v>
      </c>
      <c r="T186" s="76">
        <f>R186-U186-V186-W186</f>
        <v>0</v>
      </c>
      <c r="U186" s="76"/>
      <c r="V186" s="76"/>
      <c r="W186" s="76"/>
      <c r="X186" s="44"/>
      <c r="Y186" s="76"/>
      <c r="Z186" s="103"/>
      <c r="AA186" s="44"/>
      <c r="AB186" s="44"/>
      <c r="AC186" s="44"/>
      <c r="AD186" s="44"/>
      <c r="AE186" s="76"/>
      <c r="AF186" s="44"/>
      <c r="AG186" s="44"/>
      <c r="AH186" s="44"/>
      <c r="AI186" s="44"/>
      <c r="AJ186" s="115"/>
      <c r="AK186" s="44"/>
      <c r="AL186" s="76"/>
      <c r="AM186" s="44"/>
      <c r="AN186" s="85"/>
      <c r="AO186" s="44"/>
      <c r="AP186" s="86">
        <f t="shared" si="274"/>
        <v>0</v>
      </c>
      <c r="AQ186" s="125"/>
      <c r="AR186" s="44"/>
      <c r="AS186" s="44"/>
      <c r="AT186" s="44"/>
      <c r="AU186" s="127">
        <f t="shared" ref="AU186:AU195" si="413">AT186+AS186+AR186+AN186</f>
        <v>0</v>
      </c>
    </row>
    <row r="187" s="7" customFormat="1" ht="17" customHeight="1" spans="1:85">
      <c r="A187" s="45"/>
      <c r="B187" s="46" t="s">
        <v>76</v>
      </c>
      <c r="C187" s="47">
        <v>3</v>
      </c>
      <c r="D187" s="47"/>
      <c r="E187" s="47"/>
      <c r="F187" s="47"/>
      <c r="G187" s="49">
        <v>62426</v>
      </c>
      <c r="H187" s="49">
        <f>SUM(H188:H195)</f>
        <v>0</v>
      </c>
      <c r="I187" s="49">
        <f>SUM(I188:I195)</f>
        <v>0</v>
      </c>
      <c r="J187" s="55">
        <f t="shared" ref="J187:X187" si="414">SUM(J188:J195)</f>
        <v>332572</v>
      </c>
      <c r="K187" s="78">
        <f t="shared" si="414"/>
        <v>200588.4</v>
      </c>
      <c r="L187" s="78">
        <f t="shared" si="414"/>
        <v>0</v>
      </c>
      <c r="M187" s="78">
        <f t="shared" si="414"/>
        <v>17008.4</v>
      </c>
      <c r="N187" s="78">
        <f t="shared" si="414"/>
        <v>145382.4</v>
      </c>
      <c r="O187" s="78">
        <f t="shared" si="414"/>
        <v>38197.6</v>
      </c>
      <c r="P187" s="78">
        <f t="shared" si="414"/>
        <v>0</v>
      </c>
      <c r="Q187" s="49">
        <v>35375</v>
      </c>
      <c r="R187" s="78">
        <f t="shared" si="414"/>
        <v>21233</v>
      </c>
      <c r="S187" s="78">
        <f t="shared" si="414"/>
        <v>15913.6</v>
      </c>
      <c r="T187" s="78">
        <f t="shared" si="414"/>
        <v>178.4</v>
      </c>
      <c r="U187" s="78">
        <f t="shared" si="414"/>
        <v>2683.2</v>
      </c>
      <c r="V187" s="78">
        <f t="shared" si="414"/>
        <v>13052</v>
      </c>
      <c r="W187" s="78">
        <f t="shared" si="414"/>
        <v>0</v>
      </c>
      <c r="X187" s="49">
        <f t="shared" si="414"/>
        <v>14270.9983665321</v>
      </c>
      <c r="Y187" s="78"/>
      <c r="Z187" s="105">
        <f t="shared" ref="Z187:AD187" si="415">SUM(Z188:Z195)</f>
        <v>0.134720908230842</v>
      </c>
      <c r="AA187" s="49">
        <f t="shared" si="415"/>
        <v>1872.60252750707</v>
      </c>
      <c r="AB187" s="49">
        <v>44</v>
      </c>
      <c r="AC187" s="49">
        <f t="shared" si="415"/>
        <v>14763.9176470588</v>
      </c>
      <c r="AD187" s="49">
        <f t="shared" si="415"/>
        <v>0</v>
      </c>
      <c r="AE187" s="55">
        <f t="shared" ref="AE187:AI187" si="416">SUM(AE188:AE195)</f>
        <v>61681.92</v>
      </c>
      <c r="AF187" s="49">
        <f t="shared" si="416"/>
        <v>6425.14446364742</v>
      </c>
      <c r="AG187" s="49">
        <f t="shared" si="416"/>
        <v>64</v>
      </c>
      <c r="AH187" s="49">
        <f t="shared" si="416"/>
        <v>641.925777331996</v>
      </c>
      <c r="AI187" s="49">
        <f t="shared" si="416"/>
        <v>0</v>
      </c>
      <c r="AJ187" s="120"/>
      <c r="AK187" s="49">
        <f t="shared" ref="AK187:AO187" si="417">SUM(AK188:AK195)</f>
        <v>1819.5076717496</v>
      </c>
      <c r="AL187" s="55">
        <f t="shared" si="417"/>
        <v>743.29</v>
      </c>
      <c r="AM187" s="49">
        <f t="shared" si="417"/>
        <v>2069.48538941273</v>
      </c>
      <c r="AN187" s="85">
        <f t="shared" si="417"/>
        <v>41864</v>
      </c>
      <c r="AO187" s="49" t="e">
        <f t="shared" si="417"/>
        <v>#REF!</v>
      </c>
      <c r="AP187" s="86" t="e">
        <f t="shared" si="274"/>
        <v>#REF!</v>
      </c>
      <c r="AQ187" s="125" t="e">
        <f t="shared" si="275"/>
        <v>#REF!</v>
      </c>
      <c r="AR187" s="49">
        <v>3000</v>
      </c>
      <c r="AS187" s="49">
        <v>621</v>
      </c>
      <c r="AT187" s="49">
        <v>346</v>
      </c>
      <c r="AU187" s="49">
        <f>SUM(AU188:AU195)</f>
        <v>45831</v>
      </c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</row>
    <row r="188" ht="17" customHeight="1" spans="1:47">
      <c r="A188" s="31">
        <v>122</v>
      </c>
      <c r="B188" s="51" t="s">
        <v>225</v>
      </c>
      <c r="C188" s="31" t="s">
        <v>90</v>
      </c>
      <c r="D188" s="31">
        <v>2018</v>
      </c>
      <c r="E188" s="31" t="s">
        <v>91</v>
      </c>
      <c r="F188" s="31"/>
      <c r="G188" s="44">
        <v>12387</v>
      </c>
      <c r="H188" s="44"/>
      <c r="I188" s="44"/>
      <c r="J188" s="75">
        <v>67610</v>
      </c>
      <c r="K188" s="76">
        <f t="shared" si="407"/>
        <v>40566</v>
      </c>
      <c r="L188" s="76">
        <f t="shared" si="408"/>
        <v>0</v>
      </c>
      <c r="M188" s="76">
        <f t="shared" si="409"/>
        <v>0</v>
      </c>
      <c r="N188" s="76">
        <f t="shared" si="410"/>
        <v>40566</v>
      </c>
      <c r="O188" s="76">
        <f t="shared" si="411"/>
        <v>0</v>
      </c>
      <c r="P188" s="76">
        <f t="shared" si="412"/>
        <v>0</v>
      </c>
      <c r="Q188" s="44">
        <v>6650</v>
      </c>
      <c r="R188" s="76">
        <v>3875</v>
      </c>
      <c r="S188" s="76">
        <f t="shared" ref="S188:S195" si="418">T188+U188+V188+W188</f>
        <v>3100</v>
      </c>
      <c r="T188" s="76"/>
      <c r="U188" s="76"/>
      <c r="V188" s="76">
        <f t="shared" si="402"/>
        <v>3100</v>
      </c>
      <c r="W188" s="76"/>
      <c r="X188" s="44">
        <f t="shared" ref="X188:X195" si="419">(K188/$K$10*0.2+Q188/$Q$10*0.05+S188/$S$10*0.05)*1254933</f>
        <v>2840.14967623412</v>
      </c>
      <c r="Y188" s="76">
        <v>13034</v>
      </c>
      <c r="Z188" s="103">
        <f t="shared" ref="Z188:Z195" si="420">IF(Y188&lt;12842,(12842-Y188)/(12842-$Y$176),0)</f>
        <v>0</v>
      </c>
      <c r="AA188" s="44">
        <f t="shared" ref="AA188:AA195" si="421">(Z188/$Z$10*0.2)*1254933</f>
        <v>0</v>
      </c>
      <c r="AB188" s="44"/>
      <c r="AC188" s="44"/>
      <c r="AD188" s="44"/>
      <c r="AE188" s="76">
        <f>K188*0.6</f>
        <v>24339.6</v>
      </c>
      <c r="AF188" s="44">
        <f>AE188/$AE$10*372626.55</f>
        <v>2535.35308543237</v>
      </c>
      <c r="AG188" s="44">
        <f>VLOOKUP(B:B,[2]Sheet2!$B:$E,4,0)</f>
        <v>5</v>
      </c>
      <c r="AH188" s="44">
        <f t="shared" ref="AH188:AH195" si="422">AG188/$AG$10*10000</f>
        <v>50.1504513540622</v>
      </c>
      <c r="AI188" s="44"/>
      <c r="AJ188" s="115">
        <f>VLOOKUP(B:B,'[1]扶贫资金项目情况调度统计表 (2)'!$B:$I,8,0)</f>
        <v>0.843652484505509</v>
      </c>
      <c r="AK188" s="44">
        <f t="shared" ref="AK188:AK195" si="423">AJ188/$AJ$10*0.025*1254933</f>
        <v>258.832422471135</v>
      </c>
      <c r="AL188" s="76">
        <v>98.46</v>
      </c>
      <c r="AM188" s="44">
        <f t="shared" ref="AM188:AM195" si="424">(AL188/$AL$10)*0.025*1254933</f>
        <v>274.134633106294</v>
      </c>
      <c r="AN188" s="67">
        <f t="shared" ref="AN188:AN195" si="425">ROUND(AM188+AK188+AI188+AF188+AH188+AD188+AC188+AA188+X188,0)</f>
        <v>5959</v>
      </c>
      <c r="AO188" s="44" t="e">
        <f>#REF!*1254933/1408452</f>
        <v>#REF!</v>
      </c>
      <c r="AP188" s="44" t="e">
        <f t="shared" si="274"/>
        <v>#REF!</v>
      </c>
      <c r="AQ188" s="126" t="e">
        <f t="shared" si="275"/>
        <v>#REF!</v>
      </c>
      <c r="AR188" s="44">
        <v>500</v>
      </c>
      <c r="AS188" s="44">
        <v>0</v>
      </c>
      <c r="AT188" s="44">
        <v>91</v>
      </c>
      <c r="AU188" s="127">
        <f t="shared" si="413"/>
        <v>6550</v>
      </c>
    </row>
    <row r="189" ht="17" customHeight="1" spans="1:47">
      <c r="A189" s="31">
        <v>123</v>
      </c>
      <c r="B189" s="51" t="s">
        <v>226</v>
      </c>
      <c r="C189" s="31" t="s">
        <v>90</v>
      </c>
      <c r="D189" s="31">
        <v>2017</v>
      </c>
      <c r="E189" s="31"/>
      <c r="F189" s="31"/>
      <c r="G189" s="44">
        <v>6945</v>
      </c>
      <c r="H189" s="44"/>
      <c r="I189" s="44"/>
      <c r="J189" s="75">
        <v>42521</v>
      </c>
      <c r="K189" s="76">
        <f t="shared" si="407"/>
        <v>17008.4</v>
      </c>
      <c r="L189" s="76">
        <f t="shared" si="408"/>
        <v>0</v>
      </c>
      <c r="M189" s="76">
        <f t="shared" si="409"/>
        <v>17008.4</v>
      </c>
      <c r="N189" s="76">
        <f t="shared" si="410"/>
        <v>0</v>
      </c>
      <c r="O189" s="76">
        <f t="shared" si="411"/>
        <v>0</v>
      </c>
      <c r="P189" s="76">
        <f t="shared" si="412"/>
        <v>0</v>
      </c>
      <c r="Q189" s="44">
        <v>4931</v>
      </c>
      <c r="R189" s="76">
        <v>1690</v>
      </c>
      <c r="S189" s="76">
        <f t="shared" si="418"/>
        <v>1014</v>
      </c>
      <c r="T189" s="76"/>
      <c r="U189" s="76">
        <f>R189*0.6</f>
        <v>1014</v>
      </c>
      <c r="V189" s="76"/>
      <c r="W189" s="76"/>
      <c r="X189" s="44">
        <f t="shared" si="419"/>
        <v>1332.96462135516</v>
      </c>
      <c r="Y189" s="76">
        <v>13561</v>
      </c>
      <c r="Z189" s="103">
        <f t="shared" si="420"/>
        <v>0</v>
      </c>
      <c r="AA189" s="44">
        <f t="shared" si="421"/>
        <v>0</v>
      </c>
      <c r="AB189" s="44"/>
      <c r="AC189" s="44"/>
      <c r="AD189" s="44"/>
      <c r="AE189" s="76"/>
      <c r="AF189" s="44"/>
      <c r="AG189" s="44">
        <f>VLOOKUP(B:B,[2]Sheet2!$B:$E,4,0)</f>
        <v>3</v>
      </c>
      <c r="AH189" s="44">
        <f t="shared" si="422"/>
        <v>30.0902708124373</v>
      </c>
      <c r="AI189" s="44"/>
      <c r="AJ189" s="115">
        <f>VLOOKUP(B:B,'[1]扶贫资金项目情况调度统计表 (2)'!$B:$I,8,0)</f>
        <v>0.691003956478734</v>
      </c>
      <c r="AK189" s="44">
        <f t="shared" si="423"/>
        <v>211.999882981867</v>
      </c>
      <c r="AL189" s="76">
        <v>92.99</v>
      </c>
      <c r="AM189" s="44">
        <f t="shared" si="424"/>
        <v>258.904931267056</v>
      </c>
      <c r="AN189" s="67">
        <f t="shared" si="425"/>
        <v>1834</v>
      </c>
      <c r="AO189" s="44" t="e">
        <f>#REF!*1254933/1408452</f>
        <v>#REF!</v>
      </c>
      <c r="AP189" s="44" t="e">
        <f t="shared" si="274"/>
        <v>#REF!</v>
      </c>
      <c r="AQ189" s="126" t="e">
        <f t="shared" si="275"/>
        <v>#REF!</v>
      </c>
      <c r="AR189" s="44">
        <v>0</v>
      </c>
      <c r="AS189" s="44">
        <v>0</v>
      </c>
      <c r="AT189" s="44">
        <v>0</v>
      </c>
      <c r="AU189" s="127">
        <f t="shared" si="413"/>
        <v>1834</v>
      </c>
    </row>
    <row r="190" ht="17" customHeight="1" spans="1:47">
      <c r="A190" s="31">
        <v>124</v>
      </c>
      <c r="B190" s="51" t="s">
        <v>224</v>
      </c>
      <c r="C190" s="31" t="s">
        <v>90</v>
      </c>
      <c r="D190" s="31">
        <v>2018</v>
      </c>
      <c r="E190" s="31"/>
      <c r="F190" s="31"/>
      <c r="G190" s="44">
        <v>5851</v>
      </c>
      <c r="H190" s="44"/>
      <c r="I190" s="44"/>
      <c r="J190" s="75">
        <v>38517</v>
      </c>
      <c r="K190" s="76">
        <f t="shared" si="407"/>
        <v>23110.2</v>
      </c>
      <c r="L190" s="76">
        <f t="shared" si="408"/>
        <v>0</v>
      </c>
      <c r="M190" s="76">
        <f t="shared" si="409"/>
        <v>0</v>
      </c>
      <c r="N190" s="76">
        <f t="shared" si="410"/>
        <v>23110.2</v>
      </c>
      <c r="O190" s="76">
        <f t="shared" si="411"/>
        <v>0</v>
      </c>
      <c r="P190" s="76">
        <f t="shared" si="412"/>
        <v>0</v>
      </c>
      <c r="Q190" s="44">
        <v>3785</v>
      </c>
      <c r="R190" s="76">
        <v>4109</v>
      </c>
      <c r="S190" s="76">
        <f t="shared" si="418"/>
        <v>3287.2</v>
      </c>
      <c r="T190" s="76"/>
      <c r="U190" s="76"/>
      <c r="V190" s="76">
        <f t="shared" ref="V190:V194" si="426">R190*0.8</f>
        <v>3287.2</v>
      </c>
      <c r="W190" s="76"/>
      <c r="X190" s="44">
        <f t="shared" si="419"/>
        <v>1720.30488978341</v>
      </c>
      <c r="Y190" s="76">
        <v>12869</v>
      </c>
      <c r="Z190" s="103">
        <f t="shared" si="420"/>
        <v>0</v>
      </c>
      <c r="AA190" s="44">
        <f t="shared" si="421"/>
        <v>0</v>
      </c>
      <c r="AB190" s="44"/>
      <c r="AC190" s="44"/>
      <c r="AD190" s="44"/>
      <c r="AE190" s="76"/>
      <c r="AF190" s="44"/>
      <c r="AG190" s="44">
        <f>VLOOKUP(B:B,[2]Sheet2!$B:$E,4,0)</f>
        <v>5</v>
      </c>
      <c r="AH190" s="44">
        <f t="shared" si="422"/>
        <v>50.1504513540622</v>
      </c>
      <c r="AI190" s="44"/>
      <c r="AJ190" s="115">
        <f>VLOOKUP(B:B,'[1]扶贫资金项目情况调度统计表 (2)'!$B:$I,8,0)</f>
        <v>0.628401449111287</v>
      </c>
      <c r="AK190" s="44">
        <f t="shared" si="423"/>
        <v>192.793445577513</v>
      </c>
      <c r="AL190" s="76">
        <v>90.87</v>
      </c>
      <c r="AM190" s="44">
        <f t="shared" si="424"/>
        <v>253.002377720587</v>
      </c>
      <c r="AN190" s="67">
        <f t="shared" si="425"/>
        <v>2216</v>
      </c>
      <c r="AO190" s="44" t="e">
        <f>#REF!*1254933/1408452</f>
        <v>#REF!</v>
      </c>
      <c r="AP190" s="44" t="e">
        <f t="shared" si="274"/>
        <v>#REF!</v>
      </c>
      <c r="AQ190" s="126" t="e">
        <f t="shared" si="275"/>
        <v>#REF!</v>
      </c>
      <c r="AR190" s="44">
        <v>0</v>
      </c>
      <c r="AS190" s="44">
        <v>0</v>
      </c>
      <c r="AT190" s="44">
        <v>0</v>
      </c>
      <c r="AU190" s="127">
        <f t="shared" si="413"/>
        <v>2216</v>
      </c>
    </row>
    <row r="191" ht="17" customHeight="1" spans="1:47">
      <c r="A191" s="31">
        <v>125</v>
      </c>
      <c r="B191" s="51" t="s">
        <v>227</v>
      </c>
      <c r="C191" s="31" t="s">
        <v>90</v>
      </c>
      <c r="D191" s="31">
        <v>2019</v>
      </c>
      <c r="E191" s="31" t="s">
        <v>91</v>
      </c>
      <c r="F191" s="31"/>
      <c r="G191" s="44">
        <v>9514</v>
      </c>
      <c r="H191" s="44"/>
      <c r="I191" s="44"/>
      <c r="J191" s="75">
        <v>47747</v>
      </c>
      <c r="K191" s="76">
        <f t="shared" si="407"/>
        <v>38197.6</v>
      </c>
      <c r="L191" s="76">
        <f t="shared" si="408"/>
        <v>0</v>
      </c>
      <c r="M191" s="76">
        <f t="shared" si="409"/>
        <v>0</v>
      </c>
      <c r="N191" s="76">
        <f t="shared" si="410"/>
        <v>0</v>
      </c>
      <c r="O191" s="76">
        <f t="shared" si="411"/>
        <v>38197.6</v>
      </c>
      <c r="P191" s="76">
        <f t="shared" si="412"/>
        <v>0</v>
      </c>
      <c r="Q191" s="44">
        <v>4818</v>
      </c>
      <c r="R191" s="76">
        <v>446</v>
      </c>
      <c r="S191" s="76">
        <f t="shared" si="418"/>
        <v>178.4</v>
      </c>
      <c r="T191" s="76">
        <f>R191*0.4</f>
        <v>178.4</v>
      </c>
      <c r="U191" s="76"/>
      <c r="V191" s="76"/>
      <c r="W191" s="76"/>
      <c r="X191" s="44">
        <f t="shared" si="419"/>
        <v>2380.81060487732</v>
      </c>
      <c r="Y191" s="76">
        <v>12918</v>
      </c>
      <c r="Z191" s="103">
        <f t="shared" si="420"/>
        <v>0</v>
      </c>
      <c r="AA191" s="44">
        <f t="shared" si="421"/>
        <v>0</v>
      </c>
      <c r="AB191" s="44"/>
      <c r="AC191" s="44"/>
      <c r="AD191" s="44"/>
      <c r="AE191" s="76">
        <f>K191*0.6</f>
        <v>22918.56</v>
      </c>
      <c r="AF191" s="44">
        <f>AE191/$AE$10*372626.55</f>
        <v>2387.3293648896</v>
      </c>
      <c r="AG191" s="44">
        <f>VLOOKUP(B:B,[2]Sheet2!$B:$E,4,0)</f>
        <v>2</v>
      </c>
      <c r="AH191" s="44">
        <f t="shared" si="422"/>
        <v>20.0601805416249</v>
      </c>
      <c r="AI191" s="44"/>
      <c r="AJ191" s="115">
        <f>VLOOKUP(B:B,'[1]扶贫资金项目情况调度统计表 (2)'!$B:$I,8,0)</f>
        <v>0.788469694292278</v>
      </c>
      <c r="AK191" s="44">
        <f t="shared" si="423"/>
        <v>241.902352884511</v>
      </c>
      <c r="AL191" s="76">
        <v>93.2</v>
      </c>
      <c r="AM191" s="44">
        <f t="shared" si="424"/>
        <v>259.489618174961</v>
      </c>
      <c r="AN191" s="67">
        <f t="shared" si="425"/>
        <v>5290</v>
      </c>
      <c r="AO191" s="44" t="e">
        <f>#REF!*1254933/1408452</f>
        <v>#REF!</v>
      </c>
      <c r="AP191" s="44" t="e">
        <f t="shared" si="274"/>
        <v>#REF!</v>
      </c>
      <c r="AQ191" s="126" t="e">
        <f t="shared" si="275"/>
        <v>#REF!</v>
      </c>
      <c r="AR191" s="44">
        <v>500</v>
      </c>
      <c r="AS191" s="44">
        <v>206</v>
      </c>
      <c r="AT191" s="44">
        <v>83</v>
      </c>
      <c r="AU191" s="127">
        <f t="shared" si="413"/>
        <v>6079</v>
      </c>
    </row>
    <row r="192" ht="17" customHeight="1" spans="1:47">
      <c r="A192" s="31">
        <v>126</v>
      </c>
      <c r="B192" s="51" t="s">
        <v>228</v>
      </c>
      <c r="C192" s="31" t="s">
        <v>90</v>
      </c>
      <c r="D192" s="31">
        <v>2018</v>
      </c>
      <c r="E192" s="31"/>
      <c r="F192" s="31" t="s">
        <v>146</v>
      </c>
      <c r="G192" s="44">
        <v>6478</v>
      </c>
      <c r="H192" s="44"/>
      <c r="I192" s="44"/>
      <c r="J192" s="75">
        <v>32790</v>
      </c>
      <c r="K192" s="76">
        <f t="shared" si="407"/>
        <v>19674</v>
      </c>
      <c r="L192" s="76">
        <f t="shared" si="408"/>
        <v>0</v>
      </c>
      <c r="M192" s="76">
        <f t="shared" si="409"/>
        <v>0</v>
      </c>
      <c r="N192" s="76">
        <f t="shared" si="410"/>
        <v>19674</v>
      </c>
      <c r="O192" s="76">
        <f t="shared" si="411"/>
        <v>0</v>
      </c>
      <c r="P192" s="76">
        <f t="shared" si="412"/>
        <v>0</v>
      </c>
      <c r="Q192" s="44">
        <v>3855</v>
      </c>
      <c r="R192" s="76">
        <v>1212</v>
      </c>
      <c r="S192" s="76">
        <f t="shared" si="418"/>
        <v>727.2</v>
      </c>
      <c r="T192" s="76"/>
      <c r="U192" s="76">
        <f>R192*0.6</f>
        <v>727.2</v>
      </c>
      <c r="V192" s="76"/>
      <c r="W192" s="76"/>
      <c r="X192" s="44">
        <f t="shared" si="419"/>
        <v>1372.55020129828</v>
      </c>
      <c r="Y192" s="76">
        <v>12571</v>
      </c>
      <c r="Z192" s="103">
        <f t="shared" si="420"/>
        <v>0.0512771996215705</v>
      </c>
      <c r="AA192" s="44">
        <f t="shared" si="421"/>
        <v>712.746186733732</v>
      </c>
      <c r="AB192" s="44">
        <v>14</v>
      </c>
      <c r="AC192" s="44">
        <f t="shared" ref="AC192:AC195" si="427">AB192/$AB$10*0.1*1254933</f>
        <v>4697.61016042781</v>
      </c>
      <c r="AD192" s="44"/>
      <c r="AE192" s="76"/>
      <c r="AF192" s="44"/>
      <c r="AG192" s="44">
        <f>VLOOKUP(B:B,[2]Sheet2!$B:$E,4,0)</f>
        <v>14</v>
      </c>
      <c r="AH192" s="44">
        <f t="shared" si="422"/>
        <v>140.421263791374</v>
      </c>
      <c r="AI192" s="44"/>
      <c r="AJ192" s="115">
        <f>VLOOKUP(B:B,'[1]扶贫资金项目情况调度统计表 (2)'!$B:$I,8,0)</f>
        <v>0.759845437222105</v>
      </c>
      <c r="AK192" s="44">
        <f t="shared" si="423"/>
        <v>233.120436236387</v>
      </c>
      <c r="AL192" s="76">
        <v>92.43</v>
      </c>
      <c r="AM192" s="44">
        <f t="shared" si="424"/>
        <v>257.345766179309</v>
      </c>
      <c r="AN192" s="67">
        <f t="shared" si="425"/>
        <v>7414</v>
      </c>
      <c r="AO192" s="44" t="e">
        <f>#REF!*1254933/1408452</f>
        <v>#REF!</v>
      </c>
      <c r="AP192" s="44" t="e">
        <f t="shared" si="274"/>
        <v>#REF!</v>
      </c>
      <c r="AQ192" s="126" t="e">
        <f t="shared" si="275"/>
        <v>#REF!</v>
      </c>
      <c r="AR192" s="44">
        <v>500</v>
      </c>
      <c r="AS192" s="44">
        <v>0</v>
      </c>
      <c r="AT192" s="44">
        <v>0</v>
      </c>
      <c r="AU192" s="127">
        <f t="shared" si="413"/>
        <v>7914</v>
      </c>
    </row>
    <row r="193" ht="17" customHeight="1" spans="1:47">
      <c r="A193" s="31">
        <v>127</v>
      </c>
      <c r="B193" s="51" t="s">
        <v>229</v>
      </c>
      <c r="C193" s="31" t="s">
        <v>90</v>
      </c>
      <c r="D193" s="31">
        <v>2018</v>
      </c>
      <c r="E193" s="31"/>
      <c r="F193" s="31"/>
      <c r="G193" s="44">
        <v>5097</v>
      </c>
      <c r="H193" s="44"/>
      <c r="I193" s="44"/>
      <c r="J193" s="75">
        <v>26354</v>
      </c>
      <c r="K193" s="76">
        <f t="shared" si="407"/>
        <v>15812.4</v>
      </c>
      <c r="L193" s="76">
        <f t="shared" si="408"/>
        <v>0</v>
      </c>
      <c r="M193" s="76">
        <f t="shared" si="409"/>
        <v>0</v>
      </c>
      <c r="N193" s="76">
        <f t="shared" si="410"/>
        <v>15812.4</v>
      </c>
      <c r="O193" s="76">
        <f t="shared" si="411"/>
        <v>0</v>
      </c>
      <c r="P193" s="76">
        <f t="shared" si="412"/>
        <v>0</v>
      </c>
      <c r="Q193" s="44">
        <v>2899</v>
      </c>
      <c r="R193" s="76">
        <v>3784</v>
      </c>
      <c r="S193" s="76">
        <f t="shared" si="418"/>
        <v>3027.2</v>
      </c>
      <c r="T193" s="76"/>
      <c r="U193" s="76"/>
      <c r="V193" s="76">
        <f t="shared" si="426"/>
        <v>3027.2</v>
      </c>
      <c r="W193" s="76"/>
      <c r="X193" s="44">
        <f t="shared" si="419"/>
        <v>1252.81010588158</v>
      </c>
      <c r="Y193" s="76">
        <v>12863</v>
      </c>
      <c r="Z193" s="103">
        <f t="shared" si="420"/>
        <v>0</v>
      </c>
      <c r="AA193" s="44">
        <f t="shared" si="421"/>
        <v>0</v>
      </c>
      <c r="AB193" s="44"/>
      <c r="AC193" s="44"/>
      <c r="AD193" s="44"/>
      <c r="AE193" s="76"/>
      <c r="AF193" s="44"/>
      <c r="AG193" s="44">
        <f>VLOOKUP(B:B,[2]Sheet2!$B:$E,4,0)</f>
        <v>5</v>
      </c>
      <c r="AH193" s="44">
        <f t="shared" si="422"/>
        <v>50.1504513540622</v>
      </c>
      <c r="AI193" s="44"/>
      <c r="AJ193" s="115">
        <f>VLOOKUP(B:B,'[1]扶贫资金项目情况调度统计表 (2)'!$B:$I,8,0)</f>
        <v>0.771336711561542</v>
      </c>
      <c r="AK193" s="44">
        <f t="shared" si="423"/>
        <v>236.645957027451</v>
      </c>
      <c r="AL193" s="76">
        <v>90.69</v>
      </c>
      <c r="AM193" s="44">
        <f t="shared" si="424"/>
        <v>252.501217513811</v>
      </c>
      <c r="AN193" s="67">
        <f t="shared" si="425"/>
        <v>1792</v>
      </c>
      <c r="AO193" s="44" t="e">
        <f>#REF!*1254933/1408452</f>
        <v>#REF!</v>
      </c>
      <c r="AP193" s="44" t="e">
        <f t="shared" si="274"/>
        <v>#REF!</v>
      </c>
      <c r="AQ193" s="126" t="e">
        <f t="shared" si="275"/>
        <v>#REF!</v>
      </c>
      <c r="AR193" s="44">
        <v>500</v>
      </c>
      <c r="AS193" s="44">
        <v>0</v>
      </c>
      <c r="AT193" s="44">
        <v>80</v>
      </c>
      <c r="AU193" s="127">
        <f t="shared" si="413"/>
        <v>2372</v>
      </c>
    </row>
    <row r="194" ht="17" customHeight="1" spans="1:47">
      <c r="A194" s="31">
        <v>128</v>
      </c>
      <c r="B194" s="51" t="s">
        <v>230</v>
      </c>
      <c r="C194" s="31" t="s">
        <v>90</v>
      </c>
      <c r="D194" s="31">
        <v>2018</v>
      </c>
      <c r="E194" s="31"/>
      <c r="F194" s="31" t="s">
        <v>146</v>
      </c>
      <c r="G194" s="44">
        <v>6519</v>
      </c>
      <c r="H194" s="44"/>
      <c r="I194" s="44"/>
      <c r="J194" s="75">
        <v>36967</v>
      </c>
      <c r="K194" s="76">
        <f t="shared" si="407"/>
        <v>22180.2</v>
      </c>
      <c r="L194" s="76">
        <f t="shared" si="408"/>
        <v>0</v>
      </c>
      <c r="M194" s="76">
        <f t="shared" si="409"/>
        <v>0</v>
      </c>
      <c r="N194" s="76">
        <f t="shared" si="410"/>
        <v>22180.2</v>
      </c>
      <c r="O194" s="76">
        <f t="shared" si="411"/>
        <v>0</v>
      </c>
      <c r="P194" s="76">
        <f t="shared" si="412"/>
        <v>0</v>
      </c>
      <c r="Q194" s="44">
        <v>3302</v>
      </c>
      <c r="R194" s="76">
        <v>4547</v>
      </c>
      <c r="S194" s="76">
        <f t="shared" si="418"/>
        <v>3637.6</v>
      </c>
      <c r="T194" s="76"/>
      <c r="U194" s="76"/>
      <c r="V194" s="76">
        <f t="shared" si="426"/>
        <v>3637.6</v>
      </c>
      <c r="W194" s="76"/>
      <c r="X194" s="44">
        <f t="shared" si="419"/>
        <v>1658.70640241176</v>
      </c>
      <c r="Y194" s="76">
        <v>13484</v>
      </c>
      <c r="Z194" s="103">
        <f t="shared" si="420"/>
        <v>0</v>
      </c>
      <c r="AA194" s="44">
        <f t="shared" si="421"/>
        <v>0</v>
      </c>
      <c r="AB194" s="44">
        <v>7</v>
      </c>
      <c r="AC194" s="44">
        <f t="shared" si="427"/>
        <v>2348.8050802139</v>
      </c>
      <c r="AD194" s="44"/>
      <c r="AE194" s="76"/>
      <c r="AF194" s="44"/>
      <c r="AG194" s="44">
        <f>VLOOKUP(B:B,[2]Sheet2!$B:$E,4,0)</f>
        <v>7</v>
      </c>
      <c r="AH194" s="44">
        <f t="shared" si="422"/>
        <v>70.2106318956871</v>
      </c>
      <c r="AI194" s="44"/>
      <c r="AJ194" s="115">
        <f>VLOOKUP(B:B,'[1]扶贫资金项目情况调度统计表 (2)'!$B:$I,8,0)</f>
        <v>0.795481448268131</v>
      </c>
      <c r="AK194" s="44">
        <f t="shared" si="423"/>
        <v>244.053557676381</v>
      </c>
      <c r="AL194" s="76">
        <v>92.12</v>
      </c>
      <c r="AM194" s="44">
        <f t="shared" si="424"/>
        <v>256.482656934307</v>
      </c>
      <c r="AN194" s="67">
        <f t="shared" si="425"/>
        <v>4578</v>
      </c>
      <c r="AO194" s="44" t="e">
        <f>#REF!*1254933/1408452</f>
        <v>#REF!</v>
      </c>
      <c r="AP194" s="44" t="e">
        <f t="shared" si="274"/>
        <v>#REF!</v>
      </c>
      <c r="AQ194" s="126" t="e">
        <f t="shared" si="275"/>
        <v>#REF!</v>
      </c>
      <c r="AR194" s="44">
        <v>500</v>
      </c>
      <c r="AS194" s="44">
        <v>227</v>
      </c>
      <c r="AT194" s="44">
        <v>0</v>
      </c>
      <c r="AU194" s="127">
        <f t="shared" si="413"/>
        <v>5305</v>
      </c>
    </row>
    <row r="195" ht="17" customHeight="1" spans="1:47">
      <c r="A195" s="31">
        <v>129</v>
      </c>
      <c r="B195" s="51" t="s">
        <v>231</v>
      </c>
      <c r="C195" s="31" t="s">
        <v>90</v>
      </c>
      <c r="D195" s="31">
        <v>2018</v>
      </c>
      <c r="E195" s="31" t="s">
        <v>91</v>
      </c>
      <c r="F195" s="31" t="s">
        <v>146</v>
      </c>
      <c r="G195" s="44">
        <v>9635</v>
      </c>
      <c r="H195" s="44"/>
      <c r="I195" s="44"/>
      <c r="J195" s="75">
        <v>40066</v>
      </c>
      <c r="K195" s="76">
        <f t="shared" si="407"/>
        <v>24039.6</v>
      </c>
      <c r="L195" s="76">
        <f t="shared" si="408"/>
        <v>0</v>
      </c>
      <c r="M195" s="76">
        <f t="shared" si="409"/>
        <v>0</v>
      </c>
      <c r="N195" s="76">
        <f t="shared" si="410"/>
        <v>24039.6</v>
      </c>
      <c r="O195" s="76">
        <f t="shared" si="411"/>
        <v>0</v>
      </c>
      <c r="P195" s="76">
        <f t="shared" si="412"/>
        <v>0</v>
      </c>
      <c r="Q195" s="44">
        <v>5135</v>
      </c>
      <c r="R195" s="76">
        <v>1570</v>
      </c>
      <c r="S195" s="76">
        <f t="shared" si="418"/>
        <v>942</v>
      </c>
      <c r="T195" s="76"/>
      <c r="U195" s="76">
        <f>R195*0.6</f>
        <v>942</v>
      </c>
      <c r="V195" s="76"/>
      <c r="W195" s="76"/>
      <c r="X195" s="44">
        <f t="shared" si="419"/>
        <v>1712.70186469043</v>
      </c>
      <c r="Y195" s="76">
        <v>12401</v>
      </c>
      <c r="Z195" s="103">
        <f t="shared" si="420"/>
        <v>0.0834437086092715</v>
      </c>
      <c r="AA195" s="44">
        <f t="shared" si="421"/>
        <v>1159.85634077334</v>
      </c>
      <c r="AB195" s="44">
        <v>23</v>
      </c>
      <c r="AC195" s="44">
        <f t="shared" si="427"/>
        <v>7717.50240641711</v>
      </c>
      <c r="AD195" s="44"/>
      <c r="AE195" s="76">
        <f>K195*0.6</f>
        <v>14423.76</v>
      </c>
      <c r="AF195" s="44">
        <f>AE195/$AE$10*372626.55</f>
        <v>1502.46201332545</v>
      </c>
      <c r="AG195" s="44">
        <f>VLOOKUP(B:B,[2]Sheet2!$B:$E,4,0)</f>
        <v>23</v>
      </c>
      <c r="AH195" s="44">
        <f t="shared" si="422"/>
        <v>230.692076228686</v>
      </c>
      <c r="AI195" s="44"/>
      <c r="AJ195" s="115">
        <f>VLOOKUP(B:B,'[1]扶贫资金项目情况调度统计表 (2)'!$B:$I,8,0)</f>
        <v>0.652411148798112</v>
      </c>
      <c r="AK195" s="44">
        <f t="shared" si="423"/>
        <v>200.159616894353</v>
      </c>
      <c r="AL195" s="76">
        <v>92.53</v>
      </c>
      <c r="AM195" s="44">
        <f t="shared" si="424"/>
        <v>257.624188516407</v>
      </c>
      <c r="AN195" s="67">
        <f t="shared" si="425"/>
        <v>12781</v>
      </c>
      <c r="AO195" s="44" t="e">
        <f>#REF!*1254933/1408452</f>
        <v>#REF!</v>
      </c>
      <c r="AP195" s="44" t="e">
        <f t="shared" si="274"/>
        <v>#REF!</v>
      </c>
      <c r="AQ195" s="126" t="e">
        <f t="shared" si="275"/>
        <v>#REF!</v>
      </c>
      <c r="AR195" s="44">
        <v>500</v>
      </c>
      <c r="AS195" s="44">
        <v>188</v>
      </c>
      <c r="AT195" s="44">
        <v>92</v>
      </c>
      <c r="AU195" s="127">
        <f t="shared" si="413"/>
        <v>13561</v>
      </c>
    </row>
    <row r="197" spans="2:2">
      <c r="B197" s="9"/>
    </row>
  </sheetData>
  <autoFilter ref="A18:CG195">
    <extLst/>
  </autoFilter>
  <mergeCells count="37">
    <mergeCell ref="A2:AQ2"/>
    <mergeCell ref="J4:AQ4"/>
    <mergeCell ref="J5:X5"/>
    <mergeCell ref="J6:P6"/>
    <mergeCell ref="R6:W6"/>
    <mergeCell ref="K7:P7"/>
    <mergeCell ref="S7:W7"/>
    <mergeCell ref="AB7:AC7"/>
    <mergeCell ref="AD7:AF7"/>
    <mergeCell ref="AG7:AH7"/>
    <mergeCell ref="AJ7:AK7"/>
    <mergeCell ref="AL7:AM7"/>
    <mergeCell ref="A4:A8"/>
    <mergeCell ref="B4:B8"/>
    <mergeCell ref="C4:C8"/>
    <mergeCell ref="D4:D8"/>
    <mergeCell ref="E4:E8"/>
    <mergeCell ref="F4:F8"/>
    <mergeCell ref="J7:J8"/>
    <mergeCell ref="Q6:Q8"/>
    <mergeCell ref="R7:R8"/>
    <mergeCell ref="X6:X8"/>
    <mergeCell ref="Y7:Y8"/>
    <mergeCell ref="Z7:Z8"/>
    <mergeCell ref="AA7:AA8"/>
    <mergeCell ref="AI7:AI8"/>
    <mergeCell ref="AN5:AN8"/>
    <mergeCell ref="AO5:AO8"/>
    <mergeCell ref="AP5:AP8"/>
    <mergeCell ref="AQ5:AQ8"/>
    <mergeCell ref="AR4:AR8"/>
    <mergeCell ref="AS4:AS8"/>
    <mergeCell ref="AT4:AT8"/>
    <mergeCell ref="AU4:AU8"/>
    <mergeCell ref="AJ5:AM6"/>
    <mergeCell ref="Y5:AA6"/>
    <mergeCell ref="AB5:AI6"/>
  </mergeCells>
  <pageMargins left="0.751388888888889" right="0.751388888888889" top="1" bottom="1" header="0.5" footer="0.5"/>
  <pageSetup paperSize="8" scale="4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1.20</vt:lpstr>
      <vt:lpstr>表6资金使用成效（12月30日）</vt:lpstr>
      <vt:lpstr>小康村到县资金</vt:lpstr>
      <vt:lpstr>下达表</vt:lpstr>
      <vt:lpstr>财政测算表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郑志堂</cp:lastModifiedBy>
  <dcterms:created xsi:type="dcterms:W3CDTF">2020-03-24T04:07:00Z</dcterms:created>
  <dcterms:modified xsi:type="dcterms:W3CDTF">2023-05-08T06:10:27Z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50A79FCEC7F744BA8B3B2137ADA76B2A</vt:lpwstr>
  </property>
</Properties>
</file>